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25710" windowHeight="10590"/>
  </bookViews>
  <sheets>
    <sheet name="Лист1" sheetId="1" r:id="rId1"/>
  </sheets>
  <definedNames>
    <definedName name="_xlnm._FilterDatabase" localSheetId="0" hidden="1">Лист1!$A$21:$G$186</definedName>
    <definedName name="_xlnm.Print_Area" localSheetId="0">Лист1!$A$1:$G$196</definedName>
  </definedNames>
  <calcPr calcId="162913" refMode="R1C1"/>
</workbook>
</file>

<file path=xl/calcChain.xml><?xml version="1.0" encoding="utf-8"?>
<calcChain xmlns="http://schemas.openxmlformats.org/spreadsheetml/2006/main">
  <c r="E77" i="1" l="1"/>
  <c r="E184" i="1"/>
  <c r="F182" i="1"/>
  <c r="E182" i="1"/>
  <c r="F180" i="1"/>
  <c r="E180" i="1"/>
  <c r="F178" i="1"/>
  <c r="E178" i="1"/>
  <c r="F172" i="1"/>
  <c r="E172" i="1"/>
  <c r="F169" i="1"/>
  <c r="E169" i="1"/>
  <c r="F167" i="1"/>
  <c r="F163" i="1"/>
  <c r="F162" i="1"/>
  <c r="E161" i="1"/>
  <c r="F156" i="1"/>
  <c r="E152" i="1"/>
  <c r="F148" i="1"/>
  <c r="E148" i="1"/>
  <c r="F147" i="1"/>
  <c r="E147" i="1"/>
  <c r="F144" i="1"/>
  <c r="E144" i="1"/>
  <c r="F143" i="1"/>
  <c r="F142" i="1"/>
  <c r="E142" i="1"/>
  <c r="F139" i="1"/>
  <c r="F138" i="1"/>
  <c r="F136" i="1"/>
  <c r="F134" i="1"/>
  <c r="E134" i="1"/>
  <c r="F133" i="1"/>
  <c r="F130" i="1"/>
  <c r="F128" i="1"/>
  <c r="E128" i="1"/>
  <c r="E126" i="1"/>
  <c r="F125" i="1"/>
  <c r="E125" i="1"/>
  <c r="F124" i="1"/>
  <c r="E124" i="1"/>
  <c r="E123" i="1"/>
  <c r="F120" i="1"/>
  <c r="E120" i="1"/>
  <c r="F119" i="1"/>
  <c r="E119" i="1"/>
  <c r="F118" i="1"/>
  <c r="F117" i="1"/>
  <c r="E116" i="1"/>
  <c r="F112" i="1"/>
  <c r="F111" i="1"/>
  <c r="F110" i="1"/>
  <c r="E109" i="1"/>
  <c r="F105" i="1"/>
  <c r="F104" i="1"/>
  <c r="E103" i="1"/>
  <c r="F102" i="1"/>
  <c r="E102" i="1"/>
  <c r="E101" i="1"/>
  <c r="F100" i="1"/>
  <c r="E100" i="1"/>
  <c r="E99" i="1"/>
  <c r="E98" i="1"/>
  <c r="E97" i="1"/>
  <c r="E96" i="1"/>
  <c r="E95" i="1"/>
  <c r="F94" i="1"/>
  <c r="E94" i="1"/>
  <c r="E84" i="1"/>
  <c r="F82" i="1"/>
  <c r="E82" i="1"/>
  <c r="G82" i="1"/>
  <c r="F79" i="1"/>
  <c r="E79" i="1"/>
  <c r="G79" i="1"/>
  <c r="E81" i="1"/>
  <c r="F81" i="1"/>
  <c r="E74" i="1"/>
  <c r="F74" i="1"/>
  <c r="F73" i="1"/>
  <c r="E73" i="1"/>
  <c r="E68" i="1"/>
  <c r="E67" i="1"/>
  <c r="G67" i="1"/>
  <c r="F62" i="1"/>
  <c r="F61" i="1"/>
  <c r="F58" i="1"/>
  <c r="F51" i="1"/>
  <c r="G51" i="1"/>
  <c r="E49" i="1"/>
  <c r="G49" i="1"/>
  <c r="F47" i="1"/>
  <c r="E47" i="1"/>
  <c r="G47" i="1"/>
  <c r="E46" i="1"/>
  <c r="E44" i="1"/>
  <c r="F41" i="1"/>
  <c r="F39" i="1"/>
  <c r="E39" i="1"/>
  <c r="E38" i="1"/>
  <c r="F37" i="1"/>
  <c r="E37" i="1"/>
  <c r="G37" i="1"/>
  <c r="F36" i="1"/>
  <c r="E36" i="1"/>
  <c r="F32" i="1"/>
  <c r="E32" i="1"/>
  <c r="E34" i="1"/>
  <c r="F34" i="1"/>
  <c r="G34" i="1"/>
  <c r="E28" i="1"/>
  <c r="G28" i="1"/>
  <c r="F27" i="1"/>
  <c r="E27" i="1"/>
  <c r="G27" i="1"/>
  <c r="F26" i="1"/>
  <c r="G26" i="1"/>
  <c r="E26" i="1"/>
  <c r="F25" i="1"/>
  <c r="E25" i="1"/>
  <c r="G25" i="1"/>
  <c r="F23" i="1"/>
  <c r="G23" i="1"/>
  <c r="E23" i="1"/>
  <c r="E22" i="1"/>
  <c r="G22" i="1"/>
  <c r="F85" i="1"/>
  <c r="F90" i="1"/>
  <c r="F93" i="1"/>
  <c r="F185" i="1"/>
  <c r="F89" i="1"/>
  <c r="F88" i="1"/>
  <c r="F177" i="1"/>
  <c r="E177" i="1"/>
  <c r="G177" i="1"/>
  <c r="F175" i="1"/>
  <c r="E175" i="1"/>
  <c r="F173" i="1"/>
  <c r="G173" i="1"/>
  <c r="E173" i="1"/>
  <c r="G178" i="1"/>
  <c r="E167" i="1"/>
  <c r="F127" i="1"/>
  <c r="E127" i="1"/>
  <c r="G127" i="1"/>
  <c r="E154" i="1"/>
  <c r="F154" i="1"/>
  <c r="G154" i="1"/>
  <c r="E145" i="1"/>
  <c r="F146" i="1"/>
  <c r="F145" i="1"/>
  <c r="G145" i="1"/>
  <c r="F132" i="1"/>
  <c r="E132" i="1"/>
  <c r="G132" i="1"/>
  <c r="E160" i="1"/>
  <c r="E149" i="1"/>
  <c r="F153" i="1"/>
  <c r="F151" i="1"/>
  <c r="F166" i="1"/>
  <c r="G166" i="1"/>
  <c r="F141" i="1"/>
  <c r="F140" i="1"/>
  <c r="E140" i="1"/>
  <c r="F129" i="1"/>
  <c r="E129" i="1"/>
  <c r="E165" i="1"/>
  <c r="G165" i="1"/>
  <c r="E143" i="1"/>
  <c r="G143" i="1"/>
  <c r="E133" i="1"/>
  <c r="F161" i="1"/>
  <c r="G161" i="1"/>
  <c r="E131" i="1"/>
  <c r="E136" i="1"/>
  <c r="E135" i="1"/>
  <c r="F126" i="1"/>
  <c r="F123" i="1"/>
  <c r="E121" i="1"/>
  <c r="G120" i="1"/>
  <c r="E118" i="1"/>
  <c r="G117" i="1"/>
  <c r="E117" i="1"/>
  <c r="G113" i="1"/>
  <c r="E115" i="1"/>
  <c r="E112" i="1"/>
  <c r="G112" i="1"/>
  <c r="E107" i="1"/>
  <c r="E111" i="1"/>
  <c r="G110" i="1"/>
  <c r="E110" i="1"/>
  <c r="G109" i="1"/>
  <c r="G108" i="1"/>
  <c r="E108" i="1"/>
  <c r="G107" i="1"/>
  <c r="E106" i="1"/>
  <c r="E105" i="1"/>
  <c r="E104" i="1"/>
  <c r="G98" i="1"/>
  <c r="F91" i="1"/>
  <c r="F87" i="1"/>
  <c r="F40" i="1"/>
  <c r="G40" i="1"/>
  <c r="G72" i="1"/>
  <c r="F70" i="1"/>
  <c r="F69" i="1"/>
  <c r="E66" i="1"/>
  <c r="G61" i="1"/>
  <c r="F59" i="1"/>
  <c r="E59" i="1"/>
  <c r="E58" i="1"/>
  <c r="E50" i="1"/>
  <c r="F46" i="1"/>
  <c r="E43" i="1"/>
  <c r="F31" i="1"/>
  <c r="F30" i="1"/>
  <c r="F29" i="1"/>
  <c r="F22" i="1"/>
  <c r="G24" i="1"/>
  <c r="E29" i="1"/>
  <c r="G29" i="1"/>
  <c r="E30" i="1"/>
  <c r="G30" i="1"/>
  <c r="G31" i="1"/>
  <c r="G32" i="1"/>
  <c r="G33" i="1"/>
  <c r="E35" i="1"/>
  <c r="F35" i="1"/>
  <c r="G35" i="1"/>
  <c r="G36" i="1"/>
  <c r="G38" i="1"/>
  <c r="G39" i="1"/>
  <c r="E41" i="1"/>
  <c r="G41" i="1"/>
  <c r="E42" i="1"/>
  <c r="G42" i="1"/>
  <c r="F43" i="1"/>
  <c r="G43" i="1"/>
  <c r="F44" i="1"/>
  <c r="G44" i="1"/>
  <c r="E45" i="1"/>
  <c r="G45" i="1"/>
  <c r="G46" i="1"/>
  <c r="E48" i="1"/>
  <c r="G48" i="1"/>
  <c r="G50" i="1"/>
  <c r="E51" i="1"/>
  <c r="E52" i="1"/>
  <c r="G52" i="1"/>
  <c r="E53" i="1"/>
  <c r="G53" i="1"/>
  <c r="E54" i="1"/>
  <c r="G54" i="1"/>
  <c r="G55" i="1"/>
  <c r="E56" i="1"/>
  <c r="G56" i="1"/>
  <c r="G57" i="1"/>
  <c r="G58" i="1"/>
  <c r="G59" i="1"/>
  <c r="G60" i="1"/>
  <c r="E61" i="1"/>
  <c r="E62" i="1"/>
  <c r="G62" i="1"/>
  <c r="G63" i="1"/>
  <c r="G64" i="1"/>
  <c r="F65" i="1"/>
  <c r="G65" i="1"/>
  <c r="F66" i="1"/>
  <c r="G66" i="1"/>
  <c r="F67" i="1"/>
  <c r="G68" i="1"/>
  <c r="G69" i="1"/>
  <c r="G70" i="1"/>
  <c r="G71" i="1"/>
  <c r="G73" i="1"/>
  <c r="F75" i="1"/>
  <c r="G75" i="1"/>
  <c r="G76" i="1"/>
  <c r="G77" i="1"/>
  <c r="G80" i="1"/>
  <c r="E83" i="1"/>
  <c r="F83" i="1"/>
  <c r="G83" i="1"/>
  <c r="F84" i="1"/>
  <c r="G84" i="1"/>
  <c r="G85" i="1"/>
  <c r="F86" i="1"/>
  <c r="G86" i="1"/>
  <c r="G87" i="1"/>
  <c r="G88" i="1"/>
  <c r="G89" i="1"/>
  <c r="G90" i="1"/>
  <c r="G91" i="1"/>
  <c r="G92" i="1"/>
  <c r="G93" i="1"/>
  <c r="G94" i="1"/>
  <c r="G95" i="1"/>
  <c r="G96" i="1"/>
  <c r="G97" i="1"/>
  <c r="G99" i="1"/>
  <c r="G100" i="1"/>
  <c r="G101" i="1"/>
  <c r="G102" i="1"/>
  <c r="G104" i="1"/>
  <c r="G105" i="1"/>
  <c r="G106" i="1"/>
  <c r="E114" i="1"/>
  <c r="G114" i="1"/>
  <c r="F115" i="1"/>
  <c r="G115" i="1"/>
  <c r="F116" i="1"/>
  <c r="G116" i="1"/>
  <c r="G118" i="1"/>
  <c r="G119" i="1"/>
  <c r="F121" i="1"/>
  <c r="G122" i="1"/>
  <c r="G123" i="1"/>
  <c r="G124" i="1"/>
  <c r="G125" i="1"/>
  <c r="G126" i="1"/>
  <c r="G128" i="1"/>
  <c r="G129" i="1"/>
  <c r="G130" i="1"/>
  <c r="G131" i="1"/>
  <c r="G133" i="1"/>
  <c r="G134" i="1"/>
  <c r="G135" i="1"/>
  <c r="G136" i="1"/>
  <c r="G137" i="1"/>
  <c r="G138" i="1"/>
  <c r="G139" i="1"/>
  <c r="G140" i="1"/>
  <c r="G141" i="1"/>
  <c r="G146" i="1"/>
  <c r="G147" i="1"/>
  <c r="G148" i="1"/>
  <c r="F149" i="1"/>
  <c r="G149" i="1"/>
  <c r="G150" i="1"/>
  <c r="G151" i="1"/>
  <c r="F152" i="1"/>
  <c r="G152" i="1"/>
  <c r="G153" i="1"/>
  <c r="G155" i="1"/>
  <c r="G156" i="1"/>
  <c r="E157" i="1"/>
  <c r="F157" i="1"/>
  <c r="G157" i="1"/>
  <c r="E158" i="1"/>
  <c r="F158" i="1"/>
  <c r="G158" i="1"/>
  <c r="G159" i="1"/>
  <c r="F160" i="1"/>
  <c r="G160" i="1"/>
  <c r="G162" i="1"/>
  <c r="G163" i="1"/>
  <c r="G164" i="1"/>
  <c r="G167" i="1"/>
  <c r="E168" i="1"/>
  <c r="F168" i="1"/>
  <c r="G168" i="1"/>
  <c r="G169" i="1"/>
  <c r="G170" i="1"/>
  <c r="G171" i="1"/>
  <c r="G172" i="1"/>
  <c r="G174" i="1"/>
  <c r="G175" i="1"/>
  <c r="G176" i="1"/>
  <c r="G179" i="1"/>
  <c r="G180" i="1"/>
  <c r="G181" i="1"/>
  <c r="G182" i="1"/>
  <c r="G183" i="1"/>
  <c r="F184" i="1"/>
  <c r="G184" i="1"/>
  <c r="G185" i="1"/>
  <c r="G78" i="1"/>
  <c r="G142" i="1"/>
  <c r="G111" i="1"/>
  <c r="G103" i="1"/>
  <c r="E186" i="1"/>
  <c r="G81" i="1"/>
  <c r="G74" i="1"/>
  <c r="F186" i="1"/>
  <c r="G144" i="1"/>
  <c r="G186" i="1"/>
</calcChain>
</file>

<file path=xl/sharedStrings.xml><?xml version="1.0" encoding="utf-8"?>
<sst xmlns="http://schemas.openxmlformats.org/spreadsheetml/2006/main" count="514" uniqueCount="253">
  <si>
    <t>Форма 6</t>
  </si>
  <si>
    <t>___________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</si>
  <si>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</si>
  <si>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</si>
  <si>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</si>
  <si>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</si>
  <si>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</si>
  <si>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</si>
  <si>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</si>
  <si>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</si>
  <si>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</si>
  <si>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______________________________________________________</t>
  </si>
  <si>
    <t>(наименование субъекта естественной монополии)</t>
  </si>
  <si>
    <t>(месяц)</t>
  </si>
  <si>
    <t>(период)</t>
  </si>
  <si>
    <t>приложение № 4</t>
  </si>
  <si>
    <t>к приказу ФАС России</t>
  </si>
  <si>
    <t>от 18.01.2019 № 38/19</t>
  </si>
  <si>
    <t>ГРС Обская</t>
  </si>
  <si>
    <t>Котельная ДЕ-25-14 ГМ</t>
  </si>
  <si>
    <t>Котельная локомотивного депо</t>
  </si>
  <si>
    <t>МиниТеплоЭнергоЦентраль</t>
  </si>
  <si>
    <t>Котельная УРС-18 М (ст. Обская)</t>
  </si>
  <si>
    <t>ГРС Надым</t>
  </si>
  <si>
    <t>Газоснабжение модульной котельной</t>
  </si>
  <si>
    <t>Газоснабжение производственной базы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</si>
  <si>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</si>
  <si>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</si>
  <si>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</si>
  <si>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</si>
  <si>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</si>
  <si>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</si>
  <si>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</si>
  <si>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</si>
  <si>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</si>
  <si>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Электростанция п.Газ-Сале</t>
  </si>
  <si>
    <t>Котельная промбазы</t>
  </si>
  <si>
    <t>Население ГРС п. Газ-Сале</t>
  </si>
  <si>
    <t>Газоснабжение торгового павильона</t>
  </si>
  <si>
    <t>Котельная магазина "Силуэт"</t>
  </si>
  <si>
    <t>СФ ООО "АК "Ямал", п.Газ-Сале, ул.40 лет Победы, д.8</t>
  </si>
  <si>
    <t>ООО "НУБК", п. Газ-Сале, ул. Воробьева, д.12, кв.7</t>
  </si>
  <si>
    <t>ООО "ГАЗПРОМ ДОБЫЧА ЯМБУРГ", п. Газ-Сале, ул. Калинина, д.5, кв.57</t>
  </si>
  <si>
    <t>Котельная 26 МВт</t>
  </si>
  <si>
    <t>Котельная 20 МВт</t>
  </si>
  <si>
    <t>Газоснабжение АБК, гаража, с. Красноселькуп, промзона</t>
  </si>
  <si>
    <t>ГРС Пр. Хетта</t>
  </si>
  <si>
    <t>Котельная № 14  "ДЕВ"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</si>
  <si>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</si>
  <si>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</si>
  <si>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</si>
  <si>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</si>
  <si>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</si>
  <si>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</si>
  <si>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</si>
  <si>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</si>
  <si>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</si>
  <si>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</si>
  <si>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</si>
  <si>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</si>
  <si>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</si>
  <si>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</si>
  <si>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</si>
  <si>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</si>
  <si>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</si>
  <si>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</si>
  <si>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</si>
  <si>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</si>
  <si>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</si>
  <si>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</si>
  <si>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</si>
  <si>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</si>
  <si>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</si>
  <si>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</si>
  <si>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</si>
  <si>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</si>
  <si>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</si>
  <si>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</si>
  <si>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</si>
  <si>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</si>
  <si>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</si>
  <si>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</si>
  <si>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</si>
  <si>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</si>
  <si>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</si>
  <si>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</si>
  <si>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</si>
  <si>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</si>
  <si>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</si>
  <si>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</si>
  <si>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</si>
  <si>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</si>
  <si>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"Фея-3" ул.Пушкина,30б</t>
  </si>
  <si>
    <t>Котельная магазина "Чайка", ул. Пристанская, 9</t>
  </si>
  <si>
    <t>Котельная магазина "Фея-2"  ул.Геофизиков, 27б</t>
  </si>
  <si>
    <t>Кухня ул.Калинина,1 г</t>
  </si>
  <si>
    <t>Газоснабжение магазина смешанных товаров, п. Тазовский, ул. Заполярная, д.16, корп.А</t>
  </si>
  <si>
    <t>Кафе-бар и магазин</t>
  </si>
  <si>
    <t>Котельная магазина "Алекс 1" ул.Калинина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</si>
  <si>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</si>
  <si>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</si>
  <si>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</si>
  <si>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Котельная магазина "Метелица плюс" ул.Пушкина,21а</t>
  </si>
  <si>
    <t>Котельная магазина "Настенька", ул.Колхозная 10</t>
  </si>
  <si>
    <t>Газоснабжение здания РММ</t>
  </si>
  <si>
    <t>Газоснабжение автомастерской</t>
  </si>
  <si>
    <t>Котельная гаража по ул. Пиетомина</t>
  </si>
  <si>
    <t>Котельная магазина "Дальний свет"</t>
  </si>
  <si>
    <t>Котельная магазина "Внедорожник" ул.Колхозная,12</t>
  </si>
  <si>
    <t>Котельная магазина "Ягуар"</t>
  </si>
  <si>
    <t>Котельная аптеки</t>
  </si>
  <si>
    <t>Котельная салона-парикмахерской "Сапфир"</t>
  </si>
  <si>
    <t>Котельная ул. Калинина 14а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</si>
  <si>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</si>
  <si>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</si>
  <si>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</si>
  <si>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</si>
  <si>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</si>
  <si>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ГРС Аксарка</t>
  </si>
  <si>
    <t>Собственные нужды ГРО АО "Газпром газораспределение Север" (ГРС Аксарка)</t>
  </si>
  <si>
    <t>ГРС Пуровская</t>
  </si>
  <si>
    <t>Котельная №3 п.Пуровск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</si>
  <si>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</si>
  <si>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</si>
  <si>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</si>
  <si>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</si>
  <si>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Котельная АТХ п.Пуровск</t>
  </si>
  <si>
    <t>Газоснабжение производственного здания</t>
  </si>
  <si>
    <t>Бокс стоянки техники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</si>
  <si>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</si>
  <si>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</si>
  <si>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</si>
  <si>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</si>
  <si>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</si>
  <si>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</si>
  <si>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</si>
  <si>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МПП ЖКХ МО г. Лабытнанги "Ямал"</t>
  </si>
  <si>
    <t>Ямальский филиал ООО "Газпромтранс"</t>
  </si>
  <si>
    <t>АО "Газпром газораспределение Север"</t>
  </si>
  <si>
    <t>МУП "АТП-1"</t>
  </si>
  <si>
    <t>ООО "Северспецтехника-бурение"</t>
  </si>
  <si>
    <t>ООО "УНГК"</t>
  </si>
  <si>
    <t>ОАО "УТГ-1"</t>
  </si>
  <si>
    <t>АО "Ямалкоммунэнерго"</t>
  </si>
  <si>
    <t>Тазовское потребительское общество</t>
  </si>
  <si>
    <t>ООО "НАТИГ"</t>
  </si>
  <si>
    <t>СФ ООО "АК "Ямал"</t>
  </si>
  <si>
    <t>ООО "НУБК"</t>
  </si>
  <si>
    <t>ООО "ЭК ТВЭС"</t>
  </si>
  <si>
    <t>АО "НУМРГ"</t>
  </si>
  <si>
    <t>Надымский филиал ООО "Газпром энерго"</t>
  </si>
  <si>
    <t>Филиал АО "Ямалкоммунэнерго" в Надымском районе</t>
  </si>
  <si>
    <t>ООО "Газпром трансгаз Югорск"</t>
  </si>
  <si>
    <t>Филиал АО "Ямалкоммунэнерго" в Тазовском районе</t>
  </si>
  <si>
    <t>ТМУ ДТП</t>
  </si>
  <si>
    <t>Администрация п. Тазовский</t>
  </si>
  <si>
    <t>ООО "ФЕЯ"</t>
  </si>
  <si>
    <t>ГБУЗ ЯНАО "Тазовская ЦРБ"</t>
  </si>
  <si>
    <t>ООО "Арктик-Шоп"</t>
  </si>
  <si>
    <t>ООО "Алекс"</t>
  </si>
  <si>
    <t>ООО "Метелица"</t>
  </si>
  <si>
    <t>ООО "Здоровье"</t>
  </si>
  <si>
    <t>ООО "Лебедь"</t>
  </si>
  <si>
    <t>АО "ЮТэйр-Вертолетные услуги"</t>
  </si>
  <si>
    <t>АО "ЮТэйр-Инжиниринг"</t>
  </si>
  <si>
    <t>МКУ "Дирекция по обслуживанию деятельности ОМС Тазовского района"</t>
  </si>
  <si>
    <t>АО "Газпром газораспределение Север</t>
  </si>
  <si>
    <t>Филиал АО "Ямалкоммунэнерго" в Пуровском районе "Тепло"</t>
  </si>
  <si>
    <t>ООО "Пуровский терминал"</t>
  </si>
  <si>
    <t>ООО "Пурдорспецстрой"</t>
  </si>
  <si>
    <t>ООО "НП"</t>
  </si>
  <si>
    <t>МУП "ДСУ"</t>
  </si>
  <si>
    <t>Газоснабжение магазина, п.Тазовский, ул.Заполярная, №12Б</t>
  </si>
  <si>
    <t>ООО "СТС"</t>
  </si>
  <si>
    <t>ООО "ПНПЗ"</t>
  </si>
  <si>
    <t>Технологические нужды АО "Газпром газораспределение Север" (БРГ КЦ-1 КС Ныдинская)</t>
  </si>
  <si>
    <t>УС филиал ООО "Газпром добыча Надым"</t>
  </si>
  <si>
    <t>АО "УТГ-1"</t>
  </si>
  <si>
    <t>Индивидуальный предприниматель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</si>
  <si>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</si>
  <si>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</si>
  <si>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</si>
  <si>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</si>
  <si>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</si>
  <si>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</si>
  <si>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</si>
  <si>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СФ ООО "АК "Ямал", п.Газ-Сале, ул.Калинина, д.9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</si>
  <si>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</si>
  <si>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</si>
  <si>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</si>
  <si>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</si>
  <si>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</si>
  <si>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</si>
  <si>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</si>
  <si>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УМК-3000, с.Красноселькуп</t>
  </si>
  <si>
    <t>ООО "Автодор"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</si>
  <si>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</si>
  <si>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</si>
  <si>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</si>
  <si>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</si>
  <si>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</si>
  <si>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</si>
  <si>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</si>
  <si>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</si>
  <si>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банного комплекса, п. Тазовский, ул. Пушкина, д.22</t>
  </si>
  <si>
    <t>Физическое лицо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</si>
  <si>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</si>
  <si>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</si>
  <si>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</si>
  <si>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</si>
  <si>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Газоснабжение промбазы</t>
  </si>
  <si>
    <t>СПК "Тазовский"</t>
  </si>
  <si>
    <t>Газоснабжение торгового комплекса "Ямал" п. Тазовский, ул. Пушкина, д. 21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</si>
  <si>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</si>
  <si>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</si>
  <si>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</si>
  <si>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</si>
  <si>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</si>
  <si>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АБЗ п.Пуровск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</si>
  <si>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</si>
  <si>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</si>
  <si>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</si>
  <si>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</si>
  <si>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</si>
  <si>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</si>
  <si>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Газоснабжение магазина "Метелица 1", п. Тазовский, ул.Геофизиков, д.24а</t>
  </si>
  <si>
    <t>Газоснабжение магазина, п. Газ-Сале, мкр. Юбилейный, д. 15б</t>
  </si>
  <si>
    <t>Газоснабжение базы ТМУДТП с. Газ-Сале, производственная база в мкр. Юбилейный</t>
  </si>
  <si>
    <t>ТМУДТП</t>
  </si>
  <si>
    <t>СФ ООО "АК "Ямал", п.Газ-Сале, ул.40 лет Победы, д.4, кв.7</t>
  </si>
  <si>
    <t>ООО "Магма"</t>
  </si>
  <si>
    <t>Газоснабжение магазина "Магма", п. Газ-Сале, ул. Геологоразведчиков, 4а</t>
  </si>
  <si>
    <t>Газоснабжение торгового центра, п. Газ-Сале, ул. 40 лет Победы, д.10а</t>
  </si>
  <si>
    <t>ООО "Север"</t>
  </si>
  <si>
    <t>Газоснабжение модульного магазина "Елена", пгт. Тазовский, ул. Пиеттомина, д.9</t>
  </si>
  <si>
    <t>Котельная №1 "Термакс"</t>
  </si>
  <si>
    <t>ИП Гаврилова</t>
  </si>
  <si>
    <t xml:space="preserve">судно-завод "Флотметанол", Тазовский район, с. Газ-Сале, западнее причала Роснефть 10 </t>
  </si>
  <si>
    <t>ООО "ФлотМетанол"</t>
  </si>
  <si>
    <t xml:space="preserve">Физическое лицо </t>
  </si>
  <si>
    <t>Газоснабжение части здания магазина (300,2 кв.м), пгт. Тазовский, ул.Геофизиков, д.28 Б</t>
  </si>
  <si>
    <t>Газоснабжение части здания магазина (513,1 кв.м), пгт. Тазовский, ул.Геофизиков, д.28 Б</t>
  </si>
  <si>
    <t>ГРС Красноселькуп</t>
  </si>
  <si>
    <t>Газоснабжение склада, п.Тазовский, ул.Тундровая, зд.1</t>
  </si>
  <si>
    <t>Газоснабжение торгового центра (ПНР), п. Тазовский, ул. Геофизиков, д. 2, корп. Г</t>
  </si>
  <si>
    <t>Газоснабжение магазина "Камелия", п. Тазовский, ул. Пиеттомина, д. 5, корп. А</t>
  </si>
  <si>
    <t>Население ГРС Аксарка</t>
  </si>
  <si>
    <t>Население ГРС Пангоды</t>
  </si>
  <si>
    <t>ООО "Флотметанол", Тазовский р-н, с. Газ-Сале, ул.Молодежная, д.3, общежитие №10</t>
  </si>
  <si>
    <t>Газоснабжение торгового комплекса, с. Газ-Сале, мкр. Юбилейный, д. 19</t>
  </si>
  <si>
    <t>Газоснабжение здания, п.Газ-Сале, ул.Тазовская, д.3</t>
  </si>
  <si>
    <t>ООО "ТСС"</t>
  </si>
  <si>
    <t>на (за) июль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</si>
</sst>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0.000000"/>
    <numFmt numFmtId="186" formatCode="#,##0.00000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i/>
      <sz val="11"/>
      <color indexed="12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7">
    <xf numFmtId="0" fontId="0" fillId="0" borderId="0"/>
    <xf numFmtId="0" fontId="11" fillId="0" borderId="0" applyNumberFormat="0" applyFill="0" applyBorder="0" applyAlignment="0" applyProtection="0"/>
    <xf numFmtId="0" fontId="4" fillId="0" borderId="0"/>
    <xf numFmtId="0" fontId="10" fillId="0" borderId="0"/>
    <xf numFmtId="0" fontId="7" fillId="0" borderId="0"/>
    <xf numFmtId="0" fontId="9" fillId="0" borderId="0"/>
    <xf numFmtId="0" fontId="4" fillId="0" borderId="0"/>
  </cellStyleXfs>
  <cellXfs count="78">
    <xf numFmtId="0" fontId="0" fillId="0" borderId="0" xfId="0"/>
    <xf numFmtId="0" fontId="5" fillId="2" borderId="1" xfId="3" applyFont="1" applyFill="1" applyBorder="1" applyAlignment="1">
      <alignment horizontal="left" vertical="center" wrapText="1"/>
    </xf>
    <xf numFmtId="0" fontId="8" fillId="2" borderId="2" xfId="3" applyFont="1" applyFill="1" applyBorder="1" applyAlignment="1">
      <alignment vertical="center"/>
    </xf>
    <xf numFmtId="0" fontId="5" fillId="2" borderId="1" xfId="3" applyFont="1" applyFill="1" applyBorder="1" applyAlignment="1">
      <alignment horizontal="left" wrapText="1"/>
    </xf>
    <xf numFmtId="0" fontId="5" fillId="2" borderId="2" xfId="3" applyFont="1" applyFill="1" applyBorder="1" applyAlignment="1">
      <alignment vertical="center"/>
    </xf>
    <xf numFmtId="0" fontId="12" fillId="2" borderId="13" xfId="0" applyFont="1" applyFill="1" applyBorder="1" applyAlignment="1">
      <alignment horizontal="left" wrapText="1"/>
    </xf>
    <xf numFmtId="1" fontId="12" fillId="2" borderId="14" xfId="0" applyNumberFormat="1" applyFont="1" applyFill="1" applyBorder="1" applyAlignment="1">
      <alignment horizontal="center"/>
    </xf>
    <xf numFmtId="1" fontId="12" fillId="2" borderId="15" xfId="0" applyNumberFormat="1" applyFont="1" applyFill="1" applyBorder="1" applyAlignment="1">
      <alignment horizontal="center"/>
    </xf>
    <xf numFmtId="0" fontId="8" fillId="2" borderId="1" xfId="3" applyFont="1" applyFill="1" applyBorder="1" applyAlignment="1">
      <alignment vertical="center" wrapText="1"/>
    </xf>
    <xf numFmtId="1" fontId="12" fillId="2" borderId="15" xfId="3" applyNumberFormat="1" applyFont="1" applyFill="1" applyBorder="1" applyAlignment="1">
      <alignment horizontal="center" vertical="center"/>
    </xf>
    <xf numFmtId="0" fontId="5" fillId="2" borderId="1" xfId="3" applyFont="1" applyFill="1" applyBorder="1" applyAlignment="1">
      <alignment vertical="center"/>
    </xf>
    <xf numFmtId="0" fontId="8" fillId="2" borderId="1" xfId="2" applyFont="1" applyFill="1" applyBorder="1" applyAlignment="1">
      <alignment horizontal="left" wrapText="1"/>
    </xf>
    <xf numFmtId="0" fontId="5" fillId="2" borderId="1" xfId="3" applyFont="1" applyFill="1" applyBorder="1" applyAlignment="1"/>
    <xf numFmtId="0" fontId="5" fillId="2" borderId="1" xfId="3" applyFont="1" applyFill="1" applyBorder="1" applyAlignment="1" applyProtection="1">
      <alignment wrapText="1"/>
      <protection locked="0"/>
    </xf>
    <xf numFmtId="0" fontId="5" fillId="2" borderId="1" xfId="3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left" vertical="center"/>
    </xf>
    <xf numFmtId="0" fontId="5" fillId="2" borderId="2" xfId="3" applyFont="1" applyFill="1" applyBorder="1" applyAlignment="1">
      <alignment horizontal="left" wrapText="1"/>
    </xf>
    <xf numFmtId="1" fontId="12" fillId="2" borderId="15" xfId="3" applyNumberFormat="1" applyFont="1" applyFill="1" applyBorder="1" applyAlignment="1">
      <alignment horizontal="center"/>
    </xf>
    <xf numFmtId="0" fontId="5" fillId="2" borderId="0" xfId="3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left" wrapText="1"/>
    </xf>
    <xf numFmtId="1" fontId="8" fillId="2" borderId="15" xfId="0" applyNumberFormat="1" applyFont="1" applyFill="1" applyBorder="1" applyAlignment="1">
      <alignment horizontal="center"/>
    </xf>
    <xf numFmtId="0" fontId="5" fillId="2" borderId="2" xfId="3" applyFont="1" applyFill="1" applyBorder="1" applyAlignment="1">
      <alignment vertical="center" wrapText="1"/>
    </xf>
    <xf numFmtId="0" fontId="12" fillId="2" borderId="16" xfId="0" applyFont="1" applyFill="1" applyBorder="1" applyAlignment="1">
      <alignment horizontal="left" wrapText="1"/>
    </xf>
    <xf numFmtId="0" fontId="12" fillId="2" borderId="15" xfId="0" applyFont="1" applyFill="1" applyBorder="1" applyAlignment="1">
      <alignment horizontal="left" wrapText="1"/>
    </xf>
    <xf numFmtId="1" fontId="12" fillId="2" borderId="17" xfId="0" applyNumberFormat="1" applyFont="1" applyFill="1" applyBorder="1" applyAlignment="1">
      <alignment horizontal="center"/>
    </xf>
    <xf numFmtId="0" fontId="5" fillId="2" borderId="4" xfId="3" applyFont="1" applyFill="1" applyBorder="1" applyAlignment="1">
      <alignment vertical="center" wrapText="1"/>
    </xf>
    <xf numFmtId="0" fontId="5" fillId="2" borderId="4" xfId="3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left" wrapText="1"/>
    </xf>
    <xf numFmtId="0" fontId="12" fillId="2" borderId="1" xfId="0" applyNumberFormat="1" applyFont="1" applyFill="1" applyBorder="1" applyAlignment="1">
      <alignment horizontal="left" wrapText="1"/>
    </xf>
    <xf numFmtId="0" fontId="5" fillId="2" borderId="6" xfId="3" applyFont="1" applyFill="1" applyBorder="1" applyAlignment="1">
      <alignment vertical="center"/>
    </xf>
    <xf numFmtId="1" fontId="12" fillId="2" borderId="18" xfId="0" applyNumberFormat="1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center"/>
    </xf>
    <xf numFmtId="0" fontId="11" fillId="2" borderId="0" xfId="1" applyFill="1" applyAlignment="1">
      <alignment horizontal="center"/>
    </xf>
    <xf numFmtId="0" fontId="8" fillId="2" borderId="7" xfId="0" applyFont="1" applyFill="1" applyBorder="1" applyAlignment="1">
      <alignment horizontal="center" vertical="center" wrapText="1"/>
    </xf>
    <xf numFmtId="0" fontId="13" fillId="2" borderId="0" xfId="0" applyFont="1" applyFill="1"/>
    <xf numFmtId="186" fontId="12" fillId="0" borderId="0" xfId="0" applyNumberFormat="1" applyFont="1" applyFill="1" applyAlignment="1">
      <alignment vertical="center"/>
    </xf>
    <xf numFmtId="186" fontId="12" fillId="0" borderId="0" xfId="0" applyNumberFormat="1" applyFont="1" applyFill="1"/>
    <xf numFmtId="186" fontId="5" fillId="0" borderId="9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178" fontId="12" fillId="0" borderId="13" xfId="0" applyNumberFormat="1" applyFont="1" applyFill="1" applyBorder="1" applyAlignment="1">
      <alignment horizontal="right" vertical="center"/>
    </xf>
    <xf numFmtId="186" fontId="12" fillId="0" borderId="10" xfId="0" applyNumberFormat="1" applyFont="1" applyFill="1" applyBorder="1" applyAlignment="1">
      <alignment vertical="center"/>
    </xf>
    <xf numFmtId="178" fontId="12" fillId="0" borderId="1" xfId="0" applyNumberFormat="1" applyFont="1" applyFill="1" applyBorder="1" applyAlignment="1">
      <alignment horizontal="right" vertical="center"/>
    </xf>
    <xf numFmtId="178" fontId="12" fillId="0" borderId="14" xfId="0" applyNumberFormat="1" applyFont="1" applyFill="1" applyBorder="1" applyAlignment="1">
      <alignment horizontal="right" vertical="center"/>
    </xf>
    <xf numFmtId="178" fontId="12" fillId="0" borderId="1" xfId="0" applyNumberFormat="1" applyFont="1" applyFill="1" applyBorder="1" applyAlignment="1">
      <alignment vertical="center"/>
    </xf>
    <xf numFmtId="178" fontId="12" fillId="0" borderId="7" xfId="0" applyNumberFormat="1" applyFont="1" applyFill="1" applyBorder="1" applyAlignment="1">
      <alignment vertical="center"/>
    </xf>
    <xf numFmtId="178" fontId="12" fillId="0" borderId="11" xfId="0" applyNumberFormat="1" applyFont="1" applyFill="1" applyBorder="1" applyAlignment="1">
      <alignment vertical="center"/>
    </xf>
    <xf numFmtId="178" fontId="12" fillId="0" borderId="5" xfId="0" applyNumberFormat="1" applyFont="1" applyFill="1" applyBorder="1" applyAlignment="1">
      <alignment vertical="center"/>
    </xf>
    <xf numFmtId="178" fontId="12" fillId="0" borderId="3" xfId="0" applyNumberFormat="1" applyFont="1" applyFill="1" applyBorder="1" applyAlignment="1">
      <alignment vertical="center"/>
    </xf>
    <xf numFmtId="178" fontId="8" fillId="0" borderId="7" xfId="0" applyNumberFormat="1" applyFont="1" applyFill="1" applyBorder="1" applyAlignment="1">
      <alignment vertical="center"/>
    </xf>
    <xf numFmtId="178" fontId="8" fillId="0" borderId="1" xfId="0" applyNumberFormat="1" applyFont="1" applyFill="1" applyBorder="1" applyAlignment="1">
      <alignment vertical="center"/>
    </xf>
    <xf numFmtId="186" fontId="8" fillId="0" borderId="10" xfId="0" applyNumberFormat="1" applyFont="1" applyFill="1" applyBorder="1" applyAlignment="1">
      <alignment vertical="center"/>
    </xf>
    <xf numFmtId="178" fontId="12" fillId="0" borderId="1" xfId="0" applyNumberFormat="1" applyFont="1" applyFill="1" applyBorder="1" applyAlignment="1">
      <alignment horizontal="right"/>
    </xf>
    <xf numFmtId="178" fontId="12" fillId="0" borderId="1" xfId="0" applyNumberFormat="1" applyFont="1" applyFill="1" applyBorder="1" applyAlignment="1" applyProtection="1">
      <alignment horizontal="right" vertical="center"/>
      <protection locked="0" hidden="1"/>
    </xf>
    <xf numFmtId="186" fontId="12" fillId="0" borderId="1" xfId="0" applyNumberFormat="1" applyFont="1" applyFill="1" applyBorder="1" applyAlignment="1">
      <alignment vertical="center"/>
    </xf>
    <xf numFmtId="178" fontId="12" fillId="0" borderId="4" xfId="0" applyNumberFormat="1" applyFont="1" applyFill="1" applyBorder="1" applyAlignment="1">
      <alignment vertical="center"/>
    </xf>
    <xf numFmtId="186" fontId="12" fillId="0" borderId="12" xfId="0" applyNumberFormat="1" applyFont="1" applyFill="1" applyBorder="1" applyAlignment="1">
      <alignment vertical="center"/>
    </xf>
    <xf numFmtId="178" fontId="12" fillId="0" borderId="6" xfId="0" applyNumberFormat="1" applyFont="1" applyFill="1" applyBorder="1" applyAlignment="1">
      <alignment vertical="center"/>
    </xf>
    <xf numFmtId="178" fontId="5" fillId="0" borderId="8" xfId="0" applyNumberFormat="1" applyFont="1" applyFill="1" applyBorder="1" applyAlignment="1">
      <alignment vertical="center" wrapText="1"/>
    </xf>
    <xf numFmtId="186" fontId="5" fillId="0" borderId="8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7"/>
  <sheetViews>
    <sheetView tabSelected="1" view="pageBreakPreview" topLeftCell="A10" zoomScale="130" zoomScaleNormal="130" zoomScaleSheetLayoutView="130" workbookViewId="0">
      <selection activeCell="C19" sqref="C1:E65536"/>
    </sheetView>
  </sheetViews>
  <sheetFormatPr defaultRowHeight="15" x14ac:dyDescent="0.25"/>
  <cols>
    <col min="1" max="1" width="20" style="39" customWidth="1"/>
    <col min="2" max="2" width="27.28515625" style="40" customWidth="1"/>
    <col min="3" max="3" width="31" style="41" customWidth="1"/>
    <col min="4" max="4" width="6.5703125" style="41" customWidth="1"/>
    <col min="5" max="5" width="11.42578125" style="51" customWidth="1"/>
    <col min="6" max="6" width="14.85546875" style="51" customWidth="1"/>
    <col min="7" max="7" width="14.85546875" style="52" customWidth="1"/>
    <col min="8" max="8" width="8.85546875" style="41" customWidth="1"/>
  </cols>
  <sheetData>
    <row r="2" spans="1:6" x14ac:dyDescent="0.25">
      <c r="F2" s="51" t="s">
        <v>15</v>
      </c>
    </row>
    <row r="3" spans="1:6" x14ac:dyDescent="0.25">
      <c r="F3" s="51" t="s">
        <v>16</v>
      </c>
    </row>
    <row r="4" spans="1:6" x14ac:dyDescent="0.25">
      <c r="F4" s="51" t="s">
        <v>17</v>
      </c>
    </row>
    <row r="6" spans="1:6" x14ac:dyDescent="0.25">
      <c r="A6" s="76" t="s">
        <v>0</v>
      </c>
      <c r="B6" s="76"/>
      <c r="C6" s="76"/>
      <c r="D6" s="76"/>
      <c r="E6" s="76"/>
      <c r="F6" s="76"/>
    </row>
    <row r="7" spans="1:6" x14ac:dyDescent="0.25">
      <c r="A7" s="42"/>
    </row>
    <row r="8" spans="1:6" x14ac:dyDescent="0.25">
      <c r="A8" s="77" t="s">
        <v>7</v>
      </c>
      <c r="B8" s="77"/>
      <c r="C8" s="77"/>
      <c r="D8" s="77"/>
      <c r="E8" s="77"/>
      <c r="F8" s="77"/>
    </row>
    <row r="9" spans="1:6" x14ac:dyDescent="0.25">
      <c r="A9" s="77" t="s">
        <v>8</v>
      </c>
      <c r="B9" s="77"/>
      <c r="C9" s="77"/>
      <c r="D9" s="77"/>
      <c r="E9" s="77"/>
      <c r="F9" s="77"/>
    </row>
    <row r="10" spans="1:6" x14ac:dyDescent="0.25">
      <c r="A10" s="77" t="s">
        <v>9</v>
      </c>
      <c r="B10" s="77"/>
      <c r="C10" s="77"/>
      <c r="D10" s="77"/>
      <c r="E10" s="77"/>
      <c r="F10" s="77"/>
    </row>
    <row r="11" spans="1:6" x14ac:dyDescent="0.25">
      <c r="A11" s="77" t="s">
        <v>10</v>
      </c>
      <c r="B11" s="77"/>
      <c r="C11" s="77"/>
      <c r="D11" s="77"/>
      <c r="E11" s="77"/>
      <c r="F11" s="77"/>
    </row>
    <row r="12" spans="1:6" x14ac:dyDescent="0.25">
      <c r="A12" s="77" t="s">
        <v>11</v>
      </c>
      <c r="B12" s="77"/>
      <c r="C12" s="77"/>
      <c r="D12" s="77"/>
      <c r="E12" s="77"/>
      <c r="F12" s="77"/>
    </row>
    <row r="13" spans="1:6" x14ac:dyDescent="0.25">
      <c r="A13" s="77" t="s">
        <v>12</v>
      </c>
      <c r="B13" s="77"/>
      <c r="C13" s="77"/>
      <c r="D13" s="77"/>
      <c r="E13" s="77"/>
      <c r="F13" s="77"/>
    </row>
    <row r="14" spans="1:6" x14ac:dyDescent="0.25">
      <c r="A14" s="77" t="s">
        <v>252</v>
      </c>
      <c r="B14" s="77"/>
      <c r="C14" s="77"/>
      <c r="D14" s="77"/>
      <c r="E14" s="77"/>
      <c r="F14" s="77"/>
    </row>
    <row r="15" spans="1:6" x14ac:dyDescent="0.25">
      <c r="A15" s="77" t="s">
        <v>13</v>
      </c>
      <c r="B15" s="77"/>
      <c r="C15" s="77"/>
      <c r="D15" s="77"/>
      <c r="E15" s="77"/>
      <c r="F15" s="77"/>
    </row>
    <row r="16" spans="1:6" x14ac:dyDescent="0.25">
      <c r="A16" s="77"/>
      <c r="B16" s="77"/>
      <c r="C16" s="77"/>
      <c r="D16" s="77"/>
      <c r="E16" s="77"/>
      <c r="F16" s="77"/>
    </row>
    <row r="17" spans="1:7" x14ac:dyDescent="0.25">
      <c r="A17" s="77" t="s">
        <v>1</v>
      </c>
      <c r="B17" s="77"/>
      <c r="C17" s="77"/>
      <c r="D17" s="77"/>
      <c r="E17" s="77"/>
      <c r="F17" s="77"/>
    </row>
    <row r="18" spans="1:7" x14ac:dyDescent="0.25">
      <c r="A18" s="77" t="s">
        <v>14</v>
      </c>
      <c r="B18" s="77"/>
      <c r="C18" s="77"/>
      <c r="D18" s="77"/>
      <c r="E18" s="77"/>
      <c r="F18" s="77"/>
    </row>
    <row r="19" spans="1:7" ht="15.75" thickBot="1" x14ac:dyDescent="0.3">
      <c r="A19" s="42"/>
    </row>
    <row r="20" spans="1:7" ht="135.75" thickBot="1" x14ac:dyDescent="0.3">
      <c r="A20" s="43" t="s">
        <v>2</v>
      </c>
      <c r="B20" s="44" t="s">
        <v>3</v>
      </c>
      <c r="C20" s="44" t="s">
        <v>4</v>
      </c>
      <c r="D20" s="44" t="s">
        <v>5</v>
      </c>
      <c r="E20" s="53" t="s">
        <v>222</v>
      </c>
      <c r="F20" s="53" t="s">
        <v>223</v>
      </c>
      <c r="G20" s="53" t="s">
        <v>224</v>
      </c>
    </row>
    <row r="21" spans="1:7" ht="15.75" thickBot="1" x14ac:dyDescent="0.3">
      <c r="A21" s="43">
        <v>1</v>
      </c>
      <c r="B21" s="44">
        <v>2</v>
      </c>
      <c r="C21" s="44">
        <v>3</v>
      </c>
      <c r="D21" s="43">
        <v>4</v>
      </c>
      <c r="E21" s="54">
        <v>4</v>
      </c>
      <c r="F21" s="55">
        <v>5</v>
      </c>
      <c r="G21" s="54">
        <v>8</v>
      </c>
    </row>
    <row r="22" spans="1:7" ht="30" x14ac:dyDescent="0.25">
      <c r="A22" s="4" t="s">
        <v>18</v>
      </c>
      <c r="B22" s="5" t="s">
        <v>21</v>
      </c>
      <c r="C22" s="5" t="s">
        <v>137</v>
      </c>
      <c r="D22" s="6">
        <v>5</v>
      </c>
      <c r="E22" s="56">
        <f>6.419/1000</f>
        <v>6.4189999999999994E-3</v>
      </c>
      <c r="F22" s="56">
        <f>0/1000</f>
        <v>0</v>
      </c>
      <c r="G22" s="57">
        <f>E22-F22</f>
        <v>6.4189999999999994E-3</v>
      </c>
    </row>
    <row r="23" spans="1:7" ht="37.15" customHeight="1" x14ac:dyDescent="0.25">
      <c r="A23" s="4" t="s">
        <v>18</v>
      </c>
      <c r="B23" s="38" t="s">
        <v>22</v>
      </c>
      <c r="C23" s="5" t="s">
        <v>176</v>
      </c>
      <c r="D23" s="7">
        <v>5</v>
      </c>
      <c r="E23" s="56">
        <f>10.7/1000</f>
        <v>1.0699999999999999E-2</v>
      </c>
      <c r="F23" s="56">
        <f>12.19/1000</f>
        <v>1.2189999999999999E-2</v>
      </c>
      <c r="G23" s="57">
        <f t="shared" ref="G23:G91" si="0">E23-F23</f>
        <v>-1.49E-3</v>
      </c>
    </row>
    <row r="24" spans="1:7" ht="30" x14ac:dyDescent="0.25">
      <c r="A24" s="4" t="s">
        <v>18</v>
      </c>
      <c r="B24" s="5" t="s">
        <v>19</v>
      </c>
      <c r="C24" s="5" t="s">
        <v>136</v>
      </c>
      <c r="D24" s="7">
        <v>3</v>
      </c>
      <c r="E24" s="56">
        <v>0</v>
      </c>
      <c r="F24" s="56">
        <v>0</v>
      </c>
      <c r="G24" s="57">
        <f t="shared" si="0"/>
        <v>0</v>
      </c>
    </row>
    <row r="25" spans="1:7" ht="30" x14ac:dyDescent="0.25">
      <c r="A25" s="4" t="s">
        <v>18</v>
      </c>
      <c r="B25" s="5" t="s">
        <v>20</v>
      </c>
      <c r="C25" s="5" t="s">
        <v>137</v>
      </c>
      <c r="D25" s="7">
        <v>4</v>
      </c>
      <c r="E25" s="56">
        <f>124.733/1000</f>
        <v>0.12473300000000001</v>
      </c>
      <c r="F25" s="58">
        <f>62.562/1000</f>
        <v>6.2561999999999993E-2</v>
      </c>
      <c r="G25" s="57">
        <f t="shared" si="0"/>
        <v>6.2171000000000018E-2</v>
      </c>
    </row>
    <row r="26" spans="1:7" ht="45" x14ac:dyDescent="0.25">
      <c r="A26" s="4" t="s">
        <v>18</v>
      </c>
      <c r="B26" s="3" t="s">
        <v>179</v>
      </c>
      <c r="C26" s="8" t="s">
        <v>138</v>
      </c>
      <c r="D26" s="9">
        <v>3</v>
      </c>
      <c r="E26" s="56">
        <f>1.45/1000</f>
        <v>1.4499999999999999E-3</v>
      </c>
      <c r="F26" s="56">
        <f>1.45/1000</f>
        <v>1.4499999999999999E-3</v>
      </c>
      <c r="G26" s="57">
        <f t="shared" si="0"/>
        <v>0</v>
      </c>
    </row>
    <row r="27" spans="1:7" ht="45" x14ac:dyDescent="0.25">
      <c r="A27" s="4" t="s">
        <v>18</v>
      </c>
      <c r="B27" s="3" t="s">
        <v>180</v>
      </c>
      <c r="C27" s="8" t="s">
        <v>138</v>
      </c>
      <c r="D27" s="9">
        <v>3</v>
      </c>
      <c r="E27" s="56">
        <f>0.658/1000</f>
        <v>6.5800000000000006E-4</v>
      </c>
      <c r="F27" s="56">
        <f>E27</f>
        <v>6.5800000000000006E-4</v>
      </c>
      <c r="G27" s="57">
        <f t="shared" si="0"/>
        <v>0</v>
      </c>
    </row>
    <row r="28" spans="1:7" ht="30" x14ac:dyDescent="0.25">
      <c r="A28" s="10" t="s">
        <v>23</v>
      </c>
      <c r="B28" s="11" t="s">
        <v>24</v>
      </c>
      <c r="C28" s="12" t="s">
        <v>139</v>
      </c>
      <c r="D28" s="7">
        <v>6</v>
      </c>
      <c r="E28" s="59">
        <f>25/1000</f>
        <v>2.5000000000000001E-2</v>
      </c>
      <c r="F28" s="58">
        <v>0</v>
      </c>
      <c r="G28" s="57">
        <f t="shared" si="0"/>
        <v>2.5000000000000001E-2</v>
      </c>
    </row>
    <row r="29" spans="1:7" ht="30" x14ac:dyDescent="0.25">
      <c r="A29" s="10" t="s">
        <v>23</v>
      </c>
      <c r="B29" s="11" t="s">
        <v>25</v>
      </c>
      <c r="C29" s="13" t="s">
        <v>140</v>
      </c>
      <c r="D29" s="7">
        <v>5</v>
      </c>
      <c r="E29" s="59">
        <f>40/1000</f>
        <v>0.04</v>
      </c>
      <c r="F29" s="58">
        <f>0/1000</f>
        <v>0</v>
      </c>
      <c r="G29" s="57">
        <f t="shared" si="0"/>
        <v>0.04</v>
      </c>
    </row>
    <row r="30" spans="1:7" ht="45" x14ac:dyDescent="0.25">
      <c r="A30" s="10" t="s">
        <v>23</v>
      </c>
      <c r="B30" s="11" t="s">
        <v>26</v>
      </c>
      <c r="C30" s="13" t="s">
        <v>140</v>
      </c>
      <c r="D30" s="7">
        <v>6</v>
      </c>
      <c r="E30" s="59">
        <f>3.6/1000</f>
        <v>3.5999999999999999E-3</v>
      </c>
      <c r="F30" s="60">
        <f>0/1000</f>
        <v>0</v>
      </c>
      <c r="G30" s="57">
        <f t="shared" si="0"/>
        <v>3.5999999999999999E-3</v>
      </c>
    </row>
    <row r="31" spans="1:7" ht="30" x14ac:dyDescent="0.25">
      <c r="A31" s="10" t="s">
        <v>27</v>
      </c>
      <c r="B31" s="5" t="s">
        <v>28</v>
      </c>
      <c r="C31" s="5" t="s">
        <v>177</v>
      </c>
      <c r="D31" s="7">
        <v>5</v>
      </c>
      <c r="E31" s="59">
        <v>0</v>
      </c>
      <c r="F31" s="58">
        <f>0/1000</f>
        <v>0</v>
      </c>
      <c r="G31" s="57">
        <f t="shared" si="0"/>
        <v>0</v>
      </c>
    </row>
    <row r="32" spans="1:7" ht="30" x14ac:dyDescent="0.25">
      <c r="A32" s="10" t="s">
        <v>27</v>
      </c>
      <c r="B32" s="5" t="s">
        <v>25</v>
      </c>
      <c r="C32" s="5" t="s">
        <v>141</v>
      </c>
      <c r="D32" s="7">
        <v>5</v>
      </c>
      <c r="E32" s="58">
        <f>12/1000</f>
        <v>1.2E-2</v>
      </c>
      <c r="F32" s="58">
        <f>E32</f>
        <v>1.2E-2</v>
      </c>
      <c r="G32" s="57">
        <f t="shared" si="0"/>
        <v>0</v>
      </c>
    </row>
    <row r="33" spans="1:7" ht="45" x14ac:dyDescent="0.25">
      <c r="A33" s="10" t="s">
        <v>27</v>
      </c>
      <c r="B33" s="3" t="s">
        <v>181</v>
      </c>
      <c r="C33" s="14" t="s">
        <v>138</v>
      </c>
      <c r="D33" s="15">
        <v>3</v>
      </c>
      <c r="E33" s="60">
        <v>2.4099999999999998E-3</v>
      </c>
      <c r="F33" s="60">
        <v>2.4099999999999998E-3</v>
      </c>
      <c r="G33" s="57">
        <f t="shared" si="0"/>
        <v>0</v>
      </c>
    </row>
    <row r="34" spans="1:7" ht="60" x14ac:dyDescent="0.25">
      <c r="A34" s="10" t="s">
        <v>27</v>
      </c>
      <c r="B34" s="3" t="s">
        <v>182</v>
      </c>
      <c r="C34" s="14" t="s">
        <v>138</v>
      </c>
      <c r="D34" s="15">
        <v>3</v>
      </c>
      <c r="E34" s="60">
        <f>1.996/1000</f>
        <v>1.9959999999999999E-3</v>
      </c>
      <c r="F34" s="60">
        <f>E34</f>
        <v>1.9959999999999999E-3</v>
      </c>
      <c r="G34" s="57">
        <f t="shared" si="0"/>
        <v>0</v>
      </c>
    </row>
    <row r="35" spans="1:7" ht="60" x14ac:dyDescent="0.25">
      <c r="A35" s="10" t="s">
        <v>27</v>
      </c>
      <c r="B35" s="3" t="s">
        <v>29</v>
      </c>
      <c r="C35" s="14" t="s">
        <v>138</v>
      </c>
      <c r="D35" s="15">
        <v>3</v>
      </c>
      <c r="E35" s="60">
        <f>0/1000</f>
        <v>0</v>
      </c>
      <c r="F35" s="60">
        <f>E35</f>
        <v>0</v>
      </c>
      <c r="G35" s="57">
        <f t="shared" si="0"/>
        <v>0</v>
      </c>
    </row>
    <row r="36" spans="1:7" x14ac:dyDescent="0.25">
      <c r="A36" s="10" t="s">
        <v>30</v>
      </c>
      <c r="B36" s="11" t="s">
        <v>31</v>
      </c>
      <c r="C36" s="10" t="s">
        <v>142</v>
      </c>
      <c r="D36" s="7">
        <v>3</v>
      </c>
      <c r="E36" s="58">
        <f>481/1000</f>
        <v>0.48099999999999998</v>
      </c>
      <c r="F36" s="58">
        <f>333.597/1000</f>
        <v>0.33359699999999998</v>
      </c>
      <c r="G36" s="57">
        <f t="shared" si="0"/>
        <v>0.14740300000000001</v>
      </c>
    </row>
    <row r="37" spans="1:7" x14ac:dyDescent="0.25">
      <c r="A37" s="10" t="s">
        <v>30</v>
      </c>
      <c r="B37" s="16" t="s">
        <v>32</v>
      </c>
      <c r="C37" s="10" t="s">
        <v>32</v>
      </c>
      <c r="D37" s="7">
        <v>8</v>
      </c>
      <c r="E37" s="58">
        <f>826.5/1000</f>
        <v>0.82650000000000001</v>
      </c>
      <c r="F37" s="58">
        <f>826.454/1000</f>
        <v>0.82645399999999991</v>
      </c>
      <c r="G37" s="57">
        <f t="shared" si="0"/>
        <v>4.6000000000101515E-5</v>
      </c>
    </row>
    <row r="38" spans="1:7" ht="15" customHeight="1" x14ac:dyDescent="0.25">
      <c r="A38" s="4" t="s">
        <v>33</v>
      </c>
      <c r="B38" s="17" t="s">
        <v>34</v>
      </c>
      <c r="C38" s="4" t="s">
        <v>143</v>
      </c>
      <c r="D38" s="7">
        <v>4</v>
      </c>
      <c r="E38" s="58">
        <f>1/1000</f>
        <v>1E-3</v>
      </c>
      <c r="F38" s="58">
        <v>0</v>
      </c>
      <c r="G38" s="57">
        <f t="shared" si="0"/>
        <v>1E-3</v>
      </c>
    </row>
    <row r="39" spans="1:7" x14ac:dyDescent="0.25">
      <c r="A39" s="4" t="s">
        <v>33</v>
      </c>
      <c r="B39" s="3" t="s">
        <v>35</v>
      </c>
      <c r="C39" s="4" t="s">
        <v>143</v>
      </c>
      <c r="D39" s="7">
        <v>4</v>
      </c>
      <c r="E39" s="58">
        <f>306.127/1000</f>
        <v>0.30612699999999998</v>
      </c>
      <c r="F39" s="58">
        <f>166.393/1000</f>
        <v>0.16639300000000001</v>
      </c>
      <c r="G39" s="57">
        <f t="shared" si="0"/>
        <v>0.13973399999999997</v>
      </c>
    </row>
    <row r="40" spans="1:7" ht="31.15" customHeight="1" x14ac:dyDescent="0.25">
      <c r="A40" s="4" t="s">
        <v>33</v>
      </c>
      <c r="B40" s="3" t="s">
        <v>36</v>
      </c>
      <c r="C40" s="14" t="s">
        <v>178</v>
      </c>
      <c r="D40" s="7">
        <v>4</v>
      </c>
      <c r="E40" s="61">
        <v>0</v>
      </c>
      <c r="F40" s="58">
        <f>0/1000</f>
        <v>0</v>
      </c>
      <c r="G40" s="57">
        <f t="shared" si="0"/>
        <v>0</v>
      </c>
    </row>
    <row r="41" spans="1:7" x14ac:dyDescent="0.25">
      <c r="A41" s="4" t="s">
        <v>33</v>
      </c>
      <c r="B41" s="3" t="s">
        <v>37</v>
      </c>
      <c r="C41" s="14" t="s">
        <v>37</v>
      </c>
      <c r="D41" s="7">
        <v>8</v>
      </c>
      <c r="E41" s="62">
        <f>20/1000</f>
        <v>0.02</v>
      </c>
      <c r="F41" s="60">
        <f>10.462/1000</f>
        <v>1.0461999999999999E-2</v>
      </c>
      <c r="G41" s="57">
        <f t="shared" si="0"/>
        <v>9.5380000000000013E-3</v>
      </c>
    </row>
    <row r="42" spans="1:7" ht="45" x14ac:dyDescent="0.25">
      <c r="A42" s="4" t="s">
        <v>33</v>
      </c>
      <c r="B42" s="3" t="s">
        <v>183</v>
      </c>
      <c r="C42" s="14" t="s">
        <v>138</v>
      </c>
      <c r="D42" s="18">
        <v>3</v>
      </c>
      <c r="E42" s="60">
        <f>4.032/1000</f>
        <v>4.032E-3</v>
      </c>
      <c r="F42" s="60">
        <v>4.032E-3</v>
      </c>
      <c r="G42" s="57">
        <f t="shared" si="0"/>
        <v>0</v>
      </c>
    </row>
    <row r="43" spans="1:7" ht="45" x14ac:dyDescent="0.25">
      <c r="A43" s="4" t="s">
        <v>33</v>
      </c>
      <c r="B43" s="3" t="s">
        <v>184</v>
      </c>
      <c r="C43" s="14" t="s">
        <v>138</v>
      </c>
      <c r="D43" s="18">
        <v>3</v>
      </c>
      <c r="E43" s="58">
        <f>0/1000</f>
        <v>0</v>
      </c>
      <c r="F43" s="58">
        <f>E43</f>
        <v>0</v>
      </c>
      <c r="G43" s="57">
        <f>E43-F43</f>
        <v>0</v>
      </c>
    </row>
    <row r="44" spans="1:7" ht="45" x14ac:dyDescent="0.25">
      <c r="A44" s="4" t="s">
        <v>33</v>
      </c>
      <c r="B44" s="3" t="s">
        <v>185</v>
      </c>
      <c r="C44" s="14" t="s">
        <v>138</v>
      </c>
      <c r="D44" s="18">
        <v>3</v>
      </c>
      <c r="E44" s="58">
        <f>0.513/1000</f>
        <v>5.13E-4</v>
      </c>
      <c r="F44" s="58">
        <f>E44</f>
        <v>5.13E-4</v>
      </c>
      <c r="G44" s="57">
        <f t="shared" si="0"/>
        <v>0</v>
      </c>
    </row>
    <row r="45" spans="1:7" ht="60" x14ac:dyDescent="0.25">
      <c r="A45" s="4" t="s">
        <v>33</v>
      </c>
      <c r="B45" s="5" t="s">
        <v>227</v>
      </c>
      <c r="C45" s="14" t="s">
        <v>228</v>
      </c>
      <c r="D45" s="18">
        <v>4</v>
      </c>
      <c r="E45" s="60">
        <f>11/1000</f>
        <v>1.0999999999999999E-2</v>
      </c>
      <c r="F45" s="58">
        <v>0</v>
      </c>
      <c r="G45" s="57">
        <f t="shared" si="0"/>
        <v>1.0999999999999999E-2</v>
      </c>
    </row>
    <row r="46" spans="1:7" ht="30" x14ac:dyDescent="0.25">
      <c r="A46" s="4" t="s">
        <v>33</v>
      </c>
      <c r="B46" s="3" t="s">
        <v>39</v>
      </c>
      <c r="C46" s="14" t="s">
        <v>144</v>
      </c>
      <c r="D46" s="18">
        <v>6</v>
      </c>
      <c r="E46" s="63">
        <f>4.2/1000</f>
        <v>4.2000000000000006E-3</v>
      </c>
      <c r="F46" s="58">
        <f>0/1000</f>
        <v>0</v>
      </c>
      <c r="G46" s="57">
        <f t="shared" si="0"/>
        <v>4.2000000000000006E-3</v>
      </c>
    </row>
    <row r="47" spans="1:7" ht="45" x14ac:dyDescent="0.25">
      <c r="A47" s="4" t="s">
        <v>33</v>
      </c>
      <c r="B47" s="5" t="s">
        <v>231</v>
      </c>
      <c r="C47" s="19" t="s">
        <v>230</v>
      </c>
      <c r="D47" s="18">
        <v>6</v>
      </c>
      <c r="E47" s="58">
        <f>0.15/1000</f>
        <v>1.4999999999999999E-4</v>
      </c>
      <c r="F47" s="58">
        <f>0.11/1000</f>
        <v>1.1E-4</v>
      </c>
      <c r="G47" s="57">
        <f t="shared" si="0"/>
        <v>3.9999999999999983E-5</v>
      </c>
    </row>
    <row r="48" spans="1:7" ht="45" x14ac:dyDescent="0.25">
      <c r="A48" s="4" t="s">
        <v>33</v>
      </c>
      <c r="B48" s="5" t="s">
        <v>232</v>
      </c>
      <c r="C48" s="14" t="s">
        <v>178</v>
      </c>
      <c r="D48" s="7">
        <v>6</v>
      </c>
      <c r="E48" s="58">
        <f>2/1000</f>
        <v>2E-3</v>
      </c>
      <c r="F48" s="60">
        <v>0</v>
      </c>
      <c r="G48" s="57">
        <f t="shared" si="0"/>
        <v>2E-3</v>
      </c>
    </row>
    <row r="49" spans="1:7" ht="30" x14ac:dyDescent="0.25">
      <c r="A49" s="4" t="s">
        <v>33</v>
      </c>
      <c r="B49" s="5" t="s">
        <v>38</v>
      </c>
      <c r="C49" s="5" t="s">
        <v>145</v>
      </c>
      <c r="D49" s="7">
        <v>7</v>
      </c>
      <c r="E49" s="64">
        <f>0.1/1000</f>
        <v>1E-4</v>
      </c>
      <c r="F49" s="58">
        <v>0</v>
      </c>
      <c r="G49" s="57">
        <f t="shared" si="0"/>
        <v>1E-4</v>
      </c>
    </row>
    <row r="50" spans="1:7" ht="45" x14ac:dyDescent="0.25">
      <c r="A50" s="4" t="s">
        <v>33</v>
      </c>
      <c r="B50" s="5" t="s">
        <v>226</v>
      </c>
      <c r="C50" s="14" t="s">
        <v>178</v>
      </c>
      <c r="D50" s="7">
        <v>6</v>
      </c>
      <c r="E50" s="58">
        <f>1/1000</f>
        <v>1E-3</v>
      </c>
      <c r="F50" s="58">
        <v>0</v>
      </c>
      <c r="G50" s="57">
        <f t="shared" si="0"/>
        <v>1E-3</v>
      </c>
    </row>
    <row r="51" spans="1:7" ht="45" x14ac:dyDescent="0.25">
      <c r="A51" s="4" t="s">
        <v>33</v>
      </c>
      <c r="B51" s="5" t="s">
        <v>229</v>
      </c>
      <c r="C51" s="5" t="s">
        <v>146</v>
      </c>
      <c r="D51" s="7">
        <v>7</v>
      </c>
      <c r="E51" s="60">
        <f>0.066/1000</f>
        <v>6.6000000000000005E-5</v>
      </c>
      <c r="F51" s="60">
        <f>0.209/1000</f>
        <v>2.0899999999999998E-4</v>
      </c>
      <c r="G51" s="57">
        <f t="shared" si="0"/>
        <v>-1.4299999999999998E-4</v>
      </c>
    </row>
    <row r="52" spans="1:7" ht="30" x14ac:dyDescent="0.25">
      <c r="A52" s="4" t="s">
        <v>33</v>
      </c>
      <c r="B52" s="5" t="s">
        <v>186</v>
      </c>
      <c r="C52" s="5" t="s">
        <v>146</v>
      </c>
      <c r="D52" s="7">
        <v>7</v>
      </c>
      <c r="E52" s="60">
        <f>0.133/1000</f>
        <v>1.3300000000000001E-4</v>
      </c>
      <c r="F52" s="60">
        <v>0</v>
      </c>
      <c r="G52" s="57">
        <f t="shared" si="0"/>
        <v>1.3300000000000001E-4</v>
      </c>
    </row>
    <row r="53" spans="1:7" ht="30" x14ac:dyDescent="0.25">
      <c r="A53" s="4" t="s">
        <v>33</v>
      </c>
      <c r="B53" s="5" t="s">
        <v>40</v>
      </c>
      <c r="C53" s="5" t="s">
        <v>146</v>
      </c>
      <c r="D53" s="7">
        <v>7</v>
      </c>
      <c r="E53" s="60">
        <f>0.133/1000</f>
        <v>1.3300000000000001E-4</v>
      </c>
      <c r="F53" s="60">
        <v>0</v>
      </c>
      <c r="G53" s="57">
        <f t="shared" si="0"/>
        <v>1.3300000000000001E-4</v>
      </c>
    </row>
    <row r="54" spans="1:7" ht="30" x14ac:dyDescent="0.25">
      <c r="A54" s="4" t="s">
        <v>33</v>
      </c>
      <c r="B54" s="3" t="s">
        <v>41</v>
      </c>
      <c r="C54" s="14" t="s">
        <v>147</v>
      </c>
      <c r="D54" s="7">
        <v>7</v>
      </c>
      <c r="E54" s="58">
        <f>0/1000</f>
        <v>0</v>
      </c>
      <c r="F54" s="60">
        <v>0</v>
      </c>
      <c r="G54" s="57">
        <f t="shared" si="0"/>
        <v>0</v>
      </c>
    </row>
    <row r="55" spans="1:7" ht="60" x14ac:dyDescent="0.25">
      <c r="A55" s="2" t="s">
        <v>33</v>
      </c>
      <c r="B55" s="20" t="s">
        <v>187</v>
      </c>
      <c r="C55" s="20" t="s">
        <v>188</v>
      </c>
      <c r="D55" s="21">
        <v>7</v>
      </c>
      <c r="E55" s="65">
        <v>0</v>
      </c>
      <c r="F55" s="66">
        <v>0</v>
      </c>
      <c r="G55" s="67">
        <f t="shared" si="0"/>
        <v>0</v>
      </c>
    </row>
    <row r="56" spans="1:7" ht="60" x14ac:dyDescent="0.25">
      <c r="A56" s="2" t="s">
        <v>33</v>
      </c>
      <c r="B56" s="20" t="s">
        <v>189</v>
      </c>
      <c r="C56" s="20" t="s">
        <v>188</v>
      </c>
      <c r="D56" s="21">
        <v>7</v>
      </c>
      <c r="E56" s="58">
        <f>0.133/1000</f>
        <v>1.3300000000000001E-4</v>
      </c>
      <c r="F56" s="66">
        <v>0</v>
      </c>
      <c r="G56" s="67">
        <f t="shared" si="0"/>
        <v>1.3300000000000001E-4</v>
      </c>
    </row>
    <row r="57" spans="1:7" ht="60" x14ac:dyDescent="0.25">
      <c r="A57" s="2" t="s">
        <v>33</v>
      </c>
      <c r="B57" s="20" t="s">
        <v>42</v>
      </c>
      <c r="C57" s="20" t="s">
        <v>188</v>
      </c>
      <c r="D57" s="21">
        <v>7</v>
      </c>
      <c r="E57" s="65">
        <v>0</v>
      </c>
      <c r="F57" s="66">
        <v>0</v>
      </c>
      <c r="G57" s="67">
        <f t="shared" si="0"/>
        <v>0</v>
      </c>
    </row>
    <row r="58" spans="1:7" ht="43.9" customHeight="1" x14ac:dyDescent="0.25">
      <c r="A58" s="2" t="s">
        <v>33</v>
      </c>
      <c r="B58" s="20" t="s">
        <v>249</v>
      </c>
      <c r="C58" s="20" t="s">
        <v>178</v>
      </c>
      <c r="D58" s="21">
        <v>6</v>
      </c>
      <c r="E58" s="65">
        <f>0.5/1000</f>
        <v>5.0000000000000001E-4</v>
      </c>
      <c r="F58" s="66">
        <f>0.211/1000</f>
        <v>2.1100000000000001E-4</v>
      </c>
      <c r="G58" s="67">
        <f>E58-F58</f>
        <v>2.8899999999999998E-4</v>
      </c>
    </row>
    <row r="59" spans="1:7" ht="30" customHeight="1" x14ac:dyDescent="0.25">
      <c r="A59" s="2" t="s">
        <v>33</v>
      </c>
      <c r="B59" s="20" t="s">
        <v>250</v>
      </c>
      <c r="C59" s="20" t="s">
        <v>178</v>
      </c>
      <c r="D59" s="21">
        <v>6</v>
      </c>
      <c r="E59" s="65">
        <f>0.5/1000</f>
        <v>5.0000000000000001E-4</v>
      </c>
      <c r="F59" s="66">
        <f>0/1000</f>
        <v>0</v>
      </c>
      <c r="G59" s="67">
        <f>E59-F59</f>
        <v>5.0000000000000001E-4</v>
      </c>
    </row>
    <row r="60" spans="1:7" ht="45" x14ac:dyDescent="0.25">
      <c r="A60" s="2" t="s">
        <v>33</v>
      </c>
      <c r="B60" s="20" t="s">
        <v>190</v>
      </c>
      <c r="C60" s="20" t="s">
        <v>188</v>
      </c>
      <c r="D60" s="21">
        <v>7</v>
      </c>
      <c r="E60" s="65">
        <v>0</v>
      </c>
      <c r="F60" s="66">
        <v>0</v>
      </c>
      <c r="G60" s="67">
        <f t="shared" si="0"/>
        <v>0</v>
      </c>
    </row>
    <row r="61" spans="1:7" ht="59.45" customHeight="1" x14ac:dyDescent="0.25">
      <c r="A61" s="2" t="s">
        <v>33</v>
      </c>
      <c r="B61" s="20" t="s">
        <v>248</v>
      </c>
      <c r="C61" s="20" t="s">
        <v>238</v>
      </c>
      <c r="D61" s="21">
        <v>7</v>
      </c>
      <c r="E61" s="65">
        <f>3.227/1000</f>
        <v>3.2269999999999998E-3</v>
      </c>
      <c r="F61" s="66">
        <f>2/1000</f>
        <v>2E-3</v>
      </c>
      <c r="G61" s="67">
        <f>E61-F61</f>
        <v>1.2269999999999998E-3</v>
      </c>
    </row>
    <row r="62" spans="1:7" ht="44.25" customHeight="1" x14ac:dyDescent="0.25">
      <c r="A62" s="2" t="s">
        <v>33</v>
      </c>
      <c r="B62" s="20" t="s">
        <v>237</v>
      </c>
      <c r="C62" s="20" t="s">
        <v>238</v>
      </c>
      <c r="D62" s="21">
        <v>4</v>
      </c>
      <c r="E62" s="58">
        <f>215.76/1000</f>
        <v>0.21575999999999998</v>
      </c>
      <c r="F62" s="58">
        <f>205.439/1000</f>
        <v>0.20543899999999998</v>
      </c>
      <c r="G62" s="67">
        <f>E62-F62</f>
        <v>1.0320999999999997E-2</v>
      </c>
    </row>
    <row r="63" spans="1:7" x14ac:dyDescent="0.25">
      <c r="A63" s="4" t="s">
        <v>242</v>
      </c>
      <c r="B63" s="17" t="s">
        <v>44</v>
      </c>
      <c r="C63" s="22" t="s">
        <v>148</v>
      </c>
      <c r="D63" s="7">
        <v>4</v>
      </c>
      <c r="E63" s="68">
        <v>0</v>
      </c>
      <c r="F63" s="68">
        <v>0</v>
      </c>
      <c r="G63" s="57">
        <f t="shared" si="0"/>
        <v>0</v>
      </c>
    </row>
    <row r="64" spans="1:7" x14ac:dyDescent="0.25">
      <c r="A64" s="4" t="s">
        <v>242</v>
      </c>
      <c r="B64" s="3" t="s">
        <v>43</v>
      </c>
      <c r="C64" s="22" t="s">
        <v>148</v>
      </c>
      <c r="D64" s="7">
        <v>4</v>
      </c>
      <c r="E64" s="68">
        <v>0</v>
      </c>
      <c r="F64" s="68">
        <v>0</v>
      </c>
      <c r="G64" s="57">
        <f t="shared" si="0"/>
        <v>0</v>
      </c>
    </row>
    <row r="65" spans="1:7" ht="45" x14ac:dyDescent="0.25">
      <c r="A65" s="4" t="s">
        <v>242</v>
      </c>
      <c r="B65" s="3" t="s">
        <v>191</v>
      </c>
      <c r="C65" s="14" t="s">
        <v>138</v>
      </c>
      <c r="D65" s="15">
        <v>3</v>
      </c>
      <c r="E65" s="60">
        <v>0.118766</v>
      </c>
      <c r="F65" s="60">
        <f>E65</f>
        <v>0.118766</v>
      </c>
      <c r="G65" s="57">
        <f t="shared" si="0"/>
        <v>0</v>
      </c>
    </row>
    <row r="66" spans="1:7" ht="60" x14ac:dyDescent="0.25">
      <c r="A66" s="4" t="s">
        <v>242</v>
      </c>
      <c r="B66" s="3" t="s">
        <v>192</v>
      </c>
      <c r="C66" s="14" t="s">
        <v>138</v>
      </c>
      <c r="D66" s="15">
        <v>3</v>
      </c>
      <c r="E66" s="60">
        <f>0/1000</f>
        <v>0</v>
      </c>
      <c r="F66" s="60">
        <f>E66</f>
        <v>0</v>
      </c>
      <c r="G66" s="57">
        <f>E66-F66</f>
        <v>0</v>
      </c>
    </row>
    <row r="67" spans="1:7" ht="60" x14ac:dyDescent="0.25">
      <c r="A67" s="4" t="s">
        <v>242</v>
      </c>
      <c r="B67" s="3" t="s">
        <v>193</v>
      </c>
      <c r="C67" s="14" t="s">
        <v>138</v>
      </c>
      <c r="D67" s="15">
        <v>3</v>
      </c>
      <c r="E67" s="58">
        <f>0.224/1000</f>
        <v>2.24E-4</v>
      </c>
      <c r="F67" s="58">
        <f>E67</f>
        <v>2.24E-4</v>
      </c>
      <c r="G67" s="57">
        <f t="shared" si="0"/>
        <v>0</v>
      </c>
    </row>
    <row r="68" spans="1:7" ht="45" x14ac:dyDescent="0.25">
      <c r="A68" s="4" t="s">
        <v>242</v>
      </c>
      <c r="B68" s="5" t="s">
        <v>45</v>
      </c>
      <c r="C68" s="5" t="s">
        <v>149</v>
      </c>
      <c r="D68" s="7">
        <v>6</v>
      </c>
      <c r="E68" s="64">
        <f>0.1/1000</f>
        <v>1E-4</v>
      </c>
      <c r="F68" s="58">
        <v>0</v>
      </c>
      <c r="G68" s="57">
        <f t="shared" si="0"/>
        <v>1E-4</v>
      </c>
    </row>
    <row r="69" spans="1:7" ht="30" x14ac:dyDescent="0.25">
      <c r="A69" s="4" t="s">
        <v>242</v>
      </c>
      <c r="B69" s="5" t="s">
        <v>194</v>
      </c>
      <c r="C69" s="23" t="s">
        <v>195</v>
      </c>
      <c r="D69" s="7">
        <v>4</v>
      </c>
      <c r="E69" s="61">
        <v>0</v>
      </c>
      <c r="F69" s="58">
        <f>2.624/1000</f>
        <v>2.624E-3</v>
      </c>
      <c r="G69" s="57">
        <f t="shared" si="0"/>
        <v>-2.624E-3</v>
      </c>
    </row>
    <row r="70" spans="1:7" ht="33" customHeight="1" x14ac:dyDescent="0.25">
      <c r="A70" s="22" t="s">
        <v>46</v>
      </c>
      <c r="B70" s="24" t="s">
        <v>49</v>
      </c>
      <c r="C70" s="14" t="s">
        <v>150</v>
      </c>
      <c r="D70" s="25">
        <v>5</v>
      </c>
      <c r="E70" s="60">
        <v>0.01</v>
      </c>
      <c r="F70" s="58">
        <f>2.54/1000</f>
        <v>2.5400000000000002E-3</v>
      </c>
      <c r="G70" s="57">
        <f t="shared" si="0"/>
        <v>7.4599999999999996E-3</v>
      </c>
    </row>
    <row r="71" spans="1:7" ht="30" x14ac:dyDescent="0.25">
      <c r="A71" s="22" t="s">
        <v>46</v>
      </c>
      <c r="B71" s="24" t="s">
        <v>50</v>
      </c>
      <c r="C71" s="14" t="s">
        <v>150</v>
      </c>
      <c r="D71" s="25">
        <v>5</v>
      </c>
      <c r="E71" s="60">
        <v>0</v>
      </c>
      <c r="F71" s="58">
        <v>0</v>
      </c>
      <c r="G71" s="57">
        <f t="shared" si="0"/>
        <v>0</v>
      </c>
    </row>
    <row r="72" spans="1:7" ht="30" x14ac:dyDescent="0.25">
      <c r="A72" s="22" t="s">
        <v>46</v>
      </c>
      <c r="B72" s="24" t="s">
        <v>48</v>
      </c>
      <c r="C72" s="14" t="s">
        <v>150</v>
      </c>
      <c r="D72" s="25">
        <v>5</v>
      </c>
      <c r="E72" s="60">
        <v>0</v>
      </c>
      <c r="F72" s="60">
        <v>0</v>
      </c>
      <c r="G72" s="57">
        <f t="shared" si="0"/>
        <v>0</v>
      </c>
    </row>
    <row r="73" spans="1:7" ht="30" x14ac:dyDescent="0.25">
      <c r="A73" s="22" t="s">
        <v>46</v>
      </c>
      <c r="B73" s="24" t="s">
        <v>47</v>
      </c>
      <c r="C73" s="14" t="s">
        <v>150</v>
      </c>
      <c r="D73" s="25">
        <v>4</v>
      </c>
      <c r="E73" s="58">
        <f>80/1000</f>
        <v>0.08</v>
      </c>
      <c r="F73" s="58">
        <f>42.765/1000</f>
        <v>4.2764999999999997E-2</v>
      </c>
      <c r="G73" s="57">
        <f t="shared" si="0"/>
        <v>3.7235000000000004E-2</v>
      </c>
    </row>
    <row r="74" spans="1:7" ht="45" x14ac:dyDescent="0.25">
      <c r="A74" s="22" t="s">
        <v>46</v>
      </c>
      <c r="B74" s="3" t="s">
        <v>196</v>
      </c>
      <c r="C74" s="26" t="s">
        <v>138</v>
      </c>
      <c r="D74" s="15">
        <v>3</v>
      </c>
      <c r="E74" s="60">
        <f>0.69/1000</f>
        <v>6.8999999999999997E-4</v>
      </c>
      <c r="F74" s="60">
        <f>E74</f>
        <v>6.8999999999999997E-4</v>
      </c>
      <c r="G74" s="57">
        <f t="shared" si="0"/>
        <v>0</v>
      </c>
    </row>
    <row r="75" spans="1:7" ht="45" x14ac:dyDescent="0.25">
      <c r="A75" s="22" t="s">
        <v>46</v>
      </c>
      <c r="B75" s="3" t="s">
        <v>197</v>
      </c>
      <c r="C75" s="26" t="s">
        <v>138</v>
      </c>
      <c r="D75" s="15">
        <v>3</v>
      </c>
      <c r="E75" s="60">
        <v>0</v>
      </c>
      <c r="F75" s="60">
        <f>E75</f>
        <v>0</v>
      </c>
      <c r="G75" s="57">
        <f t="shared" si="0"/>
        <v>0</v>
      </c>
    </row>
    <row r="76" spans="1:7" ht="45" x14ac:dyDescent="0.25">
      <c r="A76" s="22" t="s">
        <v>46</v>
      </c>
      <c r="B76" s="3" t="s">
        <v>198</v>
      </c>
      <c r="C76" s="26" t="s">
        <v>138</v>
      </c>
      <c r="D76" s="15">
        <v>3</v>
      </c>
      <c r="E76" s="60">
        <v>3.846E-3</v>
      </c>
      <c r="F76" s="60">
        <v>3.846E-3</v>
      </c>
      <c r="G76" s="57">
        <f t="shared" si="0"/>
        <v>0</v>
      </c>
    </row>
    <row r="77" spans="1:7" x14ac:dyDescent="0.25">
      <c r="A77" s="22" t="s">
        <v>46</v>
      </c>
      <c r="B77" s="1" t="s">
        <v>51</v>
      </c>
      <c r="C77" s="14" t="s">
        <v>51</v>
      </c>
      <c r="D77" s="15">
        <v>8</v>
      </c>
      <c r="E77" s="60">
        <f>11.354/1000</f>
        <v>1.1354E-2</v>
      </c>
      <c r="F77" s="69">
        <v>0</v>
      </c>
      <c r="G77" s="57">
        <f t="shared" si="0"/>
        <v>1.1354E-2</v>
      </c>
    </row>
    <row r="78" spans="1:7" ht="28.15" customHeight="1" x14ac:dyDescent="0.25">
      <c r="A78" s="14" t="s">
        <v>52</v>
      </c>
      <c r="B78" s="3" t="s">
        <v>53</v>
      </c>
      <c r="C78" s="14" t="s">
        <v>151</v>
      </c>
      <c r="D78" s="7">
        <v>4</v>
      </c>
      <c r="E78" s="68">
        <v>0</v>
      </c>
      <c r="F78" s="58">
        <v>0</v>
      </c>
      <c r="G78" s="57">
        <f t="shared" si="0"/>
        <v>0</v>
      </c>
    </row>
    <row r="79" spans="1:7" ht="33.75" customHeight="1" x14ac:dyDescent="0.25">
      <c r="A79" s="14" t="s">
        <v>52</v>
      </c>
      <c r="B79" s="3" t="s">
        <v>54</v>
      </c>
      <c r="C79" s="14" t="s">
        <v>151</v>
      </c>
      <c r="D79" s="7">
        <v>4</v>
      </c>
      <c r="E79" s="58">
        <f>130.569/1000</f>
        <v>0.13056899999999999</v>
      </c>
      <c r="F79" s="58">
        <f>95.731/1000</f>
        <v>9.5730999999999997E-2</v>
      </c>
      <c r="G79" s="57">
        <f t="shared" si="0"/>
        <v>3.4837999999999994E-2</v>
      </c>
    </row>
    <row r="80" spans="1:7" ht="60" x14ac:dyDescent="0.25">
      <c r="A80" s="14" t="s">
        <v>52</v>
      </c>
      <c r="B80" s="3" t="s">
        <v>199</v>
      </c>
      <c r="C80" s="14" t="s">
        <v>138</v>
      </c>
      <c r="D80" s="15">
        <v>3</v>
      </c>
      <c r="E80" s="60">
        <v>1.6570000000000001E-3</v>
      </c>
      <c r="F80" s="60">
        <v>1.6570000000000001E-3</v>
      </c>
      <c r="G80" s="57">
        <f t="shared" si="0"/>
        <v>0</v>
      </c>
    </row>
    <row r="81" spans="1:7" ht="60" x14ac:dyDescent="0.25">
      <c r="A81" s="14" t="s">
        <v>52</v>
      </c>
      <c r="B81" s="3" t="s">
        <v>200</v>
      </c>
      <c r="C81" s="14" t="s">
        <v>138</v>
      </c>
      <c r="D81" s="15">
        <v>3</v>
      </c>
      <c r="E81" s="60">
        <f>0.2/1000</f>
        <v>2.0000000000000001E-4</v>
      </c>
      <c r="F81" s="60">
        <f>E81</f>
        <v>2.0000000000000001E-4</v>
      </c>
      <c r="G81" s="57">
        <f t="shared" si="0"/>
        <v>0</v>
      </c>
    </row>
    <row r="82" spans="1:7" ht="45" x14ac:dyDescent="0.25">
      <c r="A82" s="14" t="s">
        <v>55</v>
      </c>
      <c r="B82" s="3" t="s">
        <v>56</v>
      </c>
      <c r="C82" s="14" t="s">
        <v>151</v>
      </c>
      <c r="D82" s="7">
        <v>5</v>
      </c>
      <c r="E82" s="63">
        <f>50/1000</f>
        <v>0.05</v>
      </c>
      <c r="F82" s="60">
        <f>35.014/1000</f>
        <v>3.5014000000000003E-2</v>
      </c>
      <c r="G82" s="57">
        <f t="shared" si="0"/>
        <v>1.4985999999999999E-2</v>
      </c>
    </row>
    <row r="83" spans="1:7" ht="45" x14ac:dyDescent="0.25">
      <c r="A83" s="14" t="s">
        <v>55</v>
      </c>
      <c r="B83" s="3" t="s">
        <v>57</v>
      </c>
      <c r="C83" s="26" t="s">
        <v>138</v>
      </c>
      <c r="D83" s="15">
        <v>3</v>
      </c>
      <c r="E83" s="60">
        <f>3.01/1000</f>
        <v>3.0099999999999997E-3</v>
      </c>
      <c r="F83" s="60">
        <f>E83</f>
        <v>3.0099999999999997E-3</v>
      </c>
      <c r="G83" s="57">
        <f t="shared" si="0"/>
        <v>0</v>
      </c>
    </row>
    <row r="84" spans="1:7" ht="60" x14ac:dyDescent="0.25">
      <c r="A84" s="14" t="s">
        <v>55</v>
      </c>
      <c r="B84" s="5" t="s">
        <v>175</v>
      </c>
      <c r="C84" s="26" t="s">
        <v>138</v>
      </c>
      <c r="D84" s="15">
        <v>3</v>
      </c>
      <c r="E84" s="60">
        <f>2.236/1000</f>
        <v>2.2360000000000001E-3</v>
      </c>
      <c r="F84" s="60">
        <f>E84</f>
        <v>2.2360000000000001E-3</v>
      </c>
      <c r="G84" s="57">
        <f t="shared" si="0"/>
        <v>0</v>
      </c>
    </row>
    <row r="85" spans="1:7" ht="26.25" customHeight="1" x14ac:dyDescent="0.25">
      <c r="A85" s="14" t="s">
        <v>55</v>
      </c>
      <c r="B85" s="3" t="s">
        <v>51</v>
      </c>
      <c r="C85" s="14" t="s">
        <v>51</v>
      </c>
      <c r="D85" s="15">
        <v>8</v>
      </c>
      <c r="E85" s="63">
        <v>0</v>
      </c>
      <c r="F85" s="69">
        <f>9.993/1000</f>
        <v>9.9930000000000001E-3</v>
      </c>
      <c r="G85" s="57">
        <f t="shared" si="0"/>
        <v>-9.9930000000000001E-3</v>
      </c>
    </row>
    <row r="86" spans="1:7" ht="60" x14ac:dyDescent="0.25">
      <c r="A86" s="16" t="s">
        <v>58</v>
      </c>
      <c r="B86" s="3" t="s">
        <v>59</v>
      </c>
      <c r="C86" s="14" t="s">
        <v>138</v>
      </c>
      <c r="D86" s="15">
        <v>3</v>
      </c>
      <c r="E86" s="60">
        <v>0</v>
      </c>
      <c r="F86" s="60">
        <f>E86</f>
        <v>0</v>
      </c>
      <c r="G86" s="57">
        <f t="shared" si="0"/>
        <v>0</v>
      </c>
    </row>
    <row r="87" spans="1:7" ht="30" x14ac:dyDescent="0.25">
      <c r="A87" s="16" t="s">
        <v>58</v>
      </c>
      <c r="B87" s="5" t="s">
        <v>247</v>
      </c>
      <c r="C87" s="14" t="s">
        <v>138</v>
      </c>
      <c r="D87" s="15">
        <v>3</v>
      </c>
      <c r="E87" s="60">
        <v>0</v>
      </c>
      <c r="F87" s="60">
        <f>0/1000</f>
        <v>0</v>
      </c>
      <c r="G87" s="57">
        <f>E87-F87</f>
        <v>0</v>
      </c>
    </row>
    <row r="88" spans="1:7" ht="30" x14ac:dyDescent="0.25">
      <c r="A88" s="14" t="s">
        <v>60</v>
      </c>
      <c r="B88" s="1" t="s">
        <v>61</v>
      </c>
      <c r="C88" s="14" t="s">
        <v>152</v>
      </c>
      <c r="D88" s="15">
        <v>4</v>
      </c>
      <c r="E88" s="64">
        <v>0</v>
      </c>
      <c r="F88" s="58">
        <f>20.767/1000</f>
        <v>2.0767000000000001E-2</v>
      </c>
      <c r="G88" s="57">
        <f>E88-F88</f>
        <v>-2.0767000000000001E-2</v>
      </c>
    </row>
    <row r="89" spans="1:7" x14ac:dyDescent="0.25">
      <c r="A89" s="14" t="s">
        <v>60</v>
      </c>
      <c r="B89" s="1" t="s">
        <v>51</v>
      </c>
      <c r="C89" s="14" t="s">
        <v>51</v>
      </c>
      <c r="D89" s="15">
        <v>8</v>
      </c>
      <c r="E89" s="61">
        <v>0</v>
      </c>
      <c r="F89" s="58">
        <f>11.774/1000</f>
        <v>1.1774E-2</v>
      </c>
      <c r="G89" s="57">
        <f t="shared" si="0"/>
        <v>-1.1774E-2</v>
      </c>
    </row>
    <row r="90" spans="1:7" ht="30" x14ac:dyDescent="0.25">
      <c r="A90" s="14" t="s">
        <v>62</v>
      </c>
      <c r="B90" s="1" t="s">
        <v>61</v>
      </c>
      <c r="C90" s="14" t="s">
        <v>152</v>
      </c>
      <c r="D90" s="15">
        <v>5</v>
      </c>
      <c r="E90" s="61">
        <v>0</v>
      </c>
      <c r="F90" s="69">
        <f>98.153/1000</f>
        <v>9.8153000000000004E-2</v>
      </c>
      <c r="G90" s="57">
        <f t="shared" si="0"/>
        <v>-9.8153000000000004E-2</v>
      </c>
    </row>
    <row r="91" spans="1:7" x14ac:dyDescent="0.25">
      <c r="A91" s="14" t="s">
        <v>62</v>
      </c>
      <c r="B91" s="1" t="s">
        <v>51</v>
      </c>
      <c r="C91" s="14" t="s">
        <v>51</v>
      </c>
      <c r="D91" s="15">
        <v>8</v>
      </c>
      <c r="E91" s="61">
        <v>0</v>
      </c>
      <c r="F91" s="60">
        <f>16.376/1000</f>
        <v>1.6376000000000002E-2</v>
      </c>
      <c r="G91" s="57">
        <f t="shared" si="0"/>
        <v>-1.6376000000000002E-2</v>
      </c>
    </row>
    <row r="92" spans="1:7" ht="30" x14ac:dyDescent="0.25">
      <c r="A92" s="14" t="s">
        <v>63</v>
      </c>
      <c r="B92" s="1" t="s">
        <v>61</v>
      </c>
      <c r="C92" s="14" t="s">
        <v>152</v>
      </c>
      <c r="D92" s="15">
        <v>5</v>
      </c>
      <c r="E92" s="61">
        <v>0</v>
      </c>
      <c r="F92" s="58">
        <v>0</v>
      </c>
      <c r="G92" s="57">
        <f t="shared" ref="G92:G103" si="1">E92-F92</f>
        <v>0</v>
      </c>
    </row>
    <row r="93" spans="1:7" x14ac:dyDescent="0.25">
      <c r="A93" s="14" t="s">
        <v>63</v>
      </c>
      <c r="B93" s="27" t="s">
        <v>51</v>
      </c>
      <c r="C93" s="26" t="s">
        <v>51</v>
      </c>
      <c r="D93" s="28">
        <v>8</v>
      </c>
      <c r="E93" s="62">
        <v>0</v>
      </c>
      <c r="F93" s="58">
        <f>7.076/1000</f>
        <v>7.0759999999999998E-3</v>
      </c>
      <c r="G93" s="57">
        <f t="shared" si="1"/>
        <v>-7.0759999999999998E-3</v>
      </c>
    </row>
    <row r="94" spans="1:7" ht="33.6" customHeight="1" x14ac:dyDescent="0.25">
      <c r="A94" s="4" t="s">
        <v>64</v>
      </c>
      <c r="B94" s="5" t="s">
        <v>65</v>
      </c>
      <c r="C94" s="8" t="s">
        <v>153</v>
      </c>
      <c r="D94" s="7">
        <v>4</v>
      </c>
      <c r="E94" s="68">
        <f>599.69/1000</f>
        <v>0.59969000000000006</v>
      </c>
      <c r="F94" s="58">
        <f>448.167/1000</f>
        <v>0.44816699999999998</v>
      </c>
      <c r="G94" s="57">
        <f t="shared" si="1"/>
        <v>0.15152300000000007</v>
      </c>
    </row>
    <row r="95" spans="1:7" ht="45" x14ac:dyDescent="0.25">
      <c r="A95" s="4" t="s">
        <v>64</v>
      </c>
      <c r="B95" s="5" t="s">
        <v>69</v>
      </c>
      <c r="C95" s="8" t="s">
        <v>153</v>
      </c>
      <c r="D95" s="7">
        <v>4</v>
      </c>
      <c r="E95" s="58">
        <f>1/1000</f>
        <v>1E-3</v>
      </c>
      <c r="F95" s="58">
        <v>0</v>
      </c>
      <c r="G95" s="57">
        <f t="shared" si="1"/>
        <v>1E-3</v>
      </c>
    </row>
    <row r="96" spans="1:7" ht="45" x14ac:dyDescent="0.25">
      <c r="A96" s="4" t="s">
        <v>64</v>
      </c>
      <c r="B96" s="5" t="s">
        <v>66</v>
      </c>
      <c r="C96" s="29" t="s">
        <v>153</v>
      </c>
      <c r="D96" s="7">
        <v>4</v>
      </c>
      <c r="E96" s="58">
        <f>1/1000</f>
        <v>1E-3</v>
      </c>
      <c r="F96" s="58">
        <v>0</v>
      </c>
      <c r="G96" s="57">
        <f t="shared" si="1"/>
        <v>1E-3</v>
      </c>
    </row>
    <row r="97" spans="1:7" ht="45" x14ac:dyDescent="0.25">
      <c r="A97" s="4" t="s">
        <v>64</v>
      </c>
      <c r="B97" s="5" t="s">
        <v>71</v>
      </c>
      <c r="C97" s="29" t="s">
        <v>153</v>
      </c>
      <c r="D97" s="7">
        <v>3</v>
      </c>
      <c r="E97" s="58">
        <f>1/1000</f>
        <v>1E-3</v>
      </c>
      <c r="F97" s="58">
        <v>0</v>
      </c>
      <c r="G97" s="57">
        <f t="shared" si="1"/>
        <v>1E-3</v>
      </c>
    </row>
    <row r="98" spans="1:7" ht="45" x14ac:dyDescent="0.25">
      <c r="A98" s="4" t="s">
        <v>64</v>
      </c>
      <c r="B98" s="5" t="s">
        <v>67</v>
      </c>
      <c r="C98" s="29" t="s">
        <v>153</v>
      </c>
      <c r="D98" s="7">
        <v>4</v>
      </c>
      <c r="E98" s="58">
        <f>1/1000</f>
        <v>1E-3</v>
      </c>
      <c r="F98" s="58">
        <v>0</v>
      </c>
      <c r="G98" s="57">
        <f>E98-F98</f>
        <v>1E-3</v>
      </c>
    </row>
    <row r="99" spans="1:7" ht="45" x14ac:dyDescent="0.25">
      <c r="A99" s="4" t="s">
        <v>64</v>
      </c>
      <c r="B99" s="5" t="s">
        <v>68</v>
      </c>
      <c r="C99" s="29" t="s">
        <v>153</v>
      </c>
      <c r="D99" s="7">
        <v>4</v>
      </c>
      <c r="E99" s="58">
        <f>1/1000</f>
        <v>1E-3</v>
      </c>
      <c r="F99" s="58">
        <v>0</v>
      </c>
      <c r="G99" s="57">
        <f t="shared" si="1"/>
        <v>1E-3</v>
      </c>
    </row>
    <row r="100" spans="1:7" ht="45" x14ac:dyDescent="0.25">
      <c r="A100" s="4" t="s">
        <v>64</v>
      </c>
      <c r="B100" s="5" t="s">
        <v>235</v>
      </c>
      <c r="C100" s="29" t="s">
        <v>153</v>
      </c>
      <c r="D100" s="7">
        <v>4</v>
      </c>
      <c r="E100" s="58">
        <f>22.44/1000</f>
        <v>2.2440000000000002E-2</v>
      </c>
      <c r="F100" s="58">
        <f>36.182/1000</f>
        <v>3.6181999999999999E-2</v>
      </c>
      <c r="G100" s="57">
        <f t="shared" si="1"/>
        <v>-1.3741999999999997E-2</v>
      </c>
    </row>
    <row r="101" spans="1:7" ht="45" x14ac:dyDescent="0.25">
      <c r="A101" s="4" t="s">
        <v>64</v>
      </c>
      <c r="B101" s="5" t="s">
        <v>70</v>
      </c>
      <c r="C101" s="29" t="s">
        <v>153</v>
      </c>
      <c r="D101" s="7">
        <v>4</v>
      </c>
      <c r="E101" s="58">
        <f>1/1000</f>
        <v>1E-3</v>
      </c>
      <c r="F101" s="58">
        <v>0</v>
      </c>
      <c r="G101" s="57">
        <f t="shared" si="1"/>
        <v>1E-3</v>
      </c>
    </row>
    <row r="102" spans="1:7" x14ac:dyDescent="0.25">
      <c r="A102" s="4" t="s">
        <v>64</v>
      </c>
      <c r="B102" s="1" t="s">
        <v>72</v>
      </c>
      <c r="C102" s="14" t="s">
        <v>72</v>
      </c>
      <c r="D102" s="7">
        <v>8</v>
      </c>
      <c r="E102" s="63">
        <f>93.5/1000</f>
        <v>9.35E-2</v>
      </c>
      <c r="F102" s="58">
        <f>75.796/1000</f>
        <v>7.5796000000000002E-2</v>
      </c>
      <c r="G102" s="57">
        <f t="shared" si="1"/>
        <v>1.7703999999999998E-2</v>
      </c>
    </row>
    <row r="103" spans="1:7" ht="30" x14ac:dyDescent="0.25">
      <c r="A103" s="4" t="s">
        <v>64</v>
      </c>
      <c r="B103" s="5" t="s">
        <v>78</v>
      </c>
      <c r="C103" s="14" t="s">
        <v>144</v>
      </c>
      <c r="D103" s="7">
        <v>6</v>
      </c>
      <c r="E103" s="60">
        <f>0.1/1000</f>
        <v>1E-4</v>
      </c>
      <c r="F103" s="58">
        <v>0</v>
      </c>
      <c r="G103" s="57">
        <f t="shared" si="1"/>
        <v>1E-4</v>
      </c>
    </row>
    <row r="104" spans="1:7" ht="45" x14ac:dyDescent="0.25">
      <c r="A104" s="4" t="s">
        <v>64</v>
      </c>
      <c r="B104" s="5" t="s">
        <v>80</v>
      </c>
      <c r="C104" s="14" t="s">
        <v>144</v>
      </c>
      <c r="D104" s="7">
        <v>6</v>
      </c>
      <c r="E104" s="60">
        <f>0.2/1000</f>
        <v>2.0000000000000001E-4</v>
      </c>
      <c r="F104" s="58">
        <f>0.011/1000</f>
        <v>1.1E-5</v>
      </c>
      <c r="G104" s="57">
        <f>E104-F104</f>
        <v>1.8900000000000001E-4</v>
      </c>
    </row>
    <row r="105" spans="1:7" ht="30" x14ac:dyDescent="0.25">
      <c r="A105" s="4" t="s">
        <v>64</v>
      </c>
      <c r="B105" s="5" t="s">
        <v>73</v>
      </c>
      <c r="C105" s="14" t="s">
        <v>144</v>
      </c>
      <c r="D105" s="7">
        <v>6</v>
      </c>
      <c r="E105" s="60">
        <f>15/1000</f>
        <v>1.4999999999999999E-2</v>
      </c>
      <c r="F105" s="60">
        <f>7.501/1000</f>
        <v>7.5010000000000007E-3</v>
      </c>
      <c r="G105" s="57">
        <f t="shared" ref="G105:G117" si="2">E105-F105</f>
        <v>7.4989999999999987E-3</v>
      </c>
    </row>
    <row r="106" spans="1:7" ht="30" x14ac:dyDescent="0.25">
      <c r="A106" s="4" t="s">
        <v>64</v>
      </c>
      <c r="B106" s="5" t="s">
        <v>74</v>
      </c>
      <c r="C106" s="14" t="s">
        <v>144</v>
      </c>
      <c r="D106" s="7">
        <v>6</v>
      </c>
      <c r="E106" s="60">
        <f>0.2/1000</f>
        <v>2.0000000000000001E-4</v>
      </c>
      <c r="F106" s="58">
        <v>0</v>
      </c>
      <c r="G106" s="57">
        <f t="shared" si="2"/>
        <v>2.0000000000000001E-4</v>
      </c>
    </row>
    <row r="107" spans="1:7" ht="30" x14ac:dyDescent="0.25">
      <c r="A107" s="4" t="s">
        <v>64</v>
      </c>
      <c r="B107" s="5" t="s">
        <v>76</v>
      </c>
      <c r="C107" s="14" t="s">
        <v>144</v>
      </c>
      <c r="D107" s="7">
        <v>5</v>
      </c>
      <c r="E107" s="60">
        <f>0.2/1000</f>
        <v>2.0000000000000001E-4</v>
      </c>
      <c r="F107" s="58">
        <v>0</v>
      </c>
      <c r="G107" s="57">
        <f t="shared" si="2"/>
        <v>2.0000000000000001E-4</v>
      </c>
    </row>
    <row r="108" spans="1:7" ht="30" x14ac:dyDescent="0.25">
      <c r="A108" s="4" t="s">
        <v>64</v>
      </c>
      <c r="B108" s="5" t="s">
        <v>82</v>
      </c>
      <c r="C108" s="14" t="s">
        <v>144</v>
      </c>
      <c r="D108" s="7">
        <v>6</v>
      </c>
      <c r="E108" s="60">
        <f>0.5/1000</f>
        <v>5.0000000000000001E-4</v>
      </c>
      <c r="F108" s="58">
        <v>0</v>
      </c>
      <c r="G108" s="57">
        <f t="shared" si="2"/>
        <v>5.0000000000000001E-4</v>
      </c>
    </row>
    <row r="109" spans="1:7" ht="30" x14ac:dyDescent="0.25">
      <c r="A109" s="4" t="s">
        <v>64</v>
      </c>
      <c r="B109" s="5" t="s">
        <v>77</v>
      </c>
      <c r="C109" s="14" t="s">
        <v>144</v>
      </c>
      <c r="D109" s="7">
        <v>6</v>
      </c>
      <c r="E109" s="60">
        <f>0.2/1000</f>
        <v>2.0000000000000001E-4</v>
      </c>
      <c r="F109" s="58">
        <v>0</v>
      </c>
      <c r="G109" s="57">
        <f t="shared" si="2"/>
        <v>2.0000000000000001E-4</v>
      </c>
    </row>
    <row r="110" spans="1:7" ht="30" x14ac:dyDescent="0.25">
      <c r="A110" s="4" t="s">
        <v>64</v>
      </c>
      <c r="B110" s="5" t="s">
        <v>81</v>
      </c>
      <c r="C110" s="14" t="s">
        <v>144</v>
      </c>
      <c r="D110" s="7">
        <v>6</v>
      </c>
      <c r="E110" s="60">
        <f>0.2/1000</f>
        <v>2.0000000000000001E-4</v>
      </c>
      <c r="F110" s="58">
        <f>0.103/1000</f>
        <v>1.03E-4</v>
      </c>
      <c r="G110" s="57">
        <f t="shared" si="2"/>
        <v>9.7000000000000013E-5</v>
      </c>
    </row>
    <row r="111" spans="1:7" ht="30" x14ac:dyDescent="0.25">
      <c r="A111" s="4" t="s">
        <v>64</v>
      </c>
      <c r="B111" s="5" t="s">
        <v>75</v>
      </c>
      <c r="C111" s="14" t="s">
        <v>144</v>
      </c>
      <c r="D111" s="7">
        <v>6</v>
      </c>
      <c r="E111" s="60">
        <f>1/1000</f>
        <v>1E-3</v>
      </c>
      <c r="F111" s="58">
        <f>0.036/1000</f>
        <v>3.5999999999999994E-5</v>
      </c>
      <c r="G111" s="57">
        <f t="shared" si="2"/>
        <v>9.6400000000000001E-4</v>
      </c>
    </row>
    <row r="112" spans="1:7" ht="30" x14ac:dyDescent="0.25">
      <c r="A112" s="4" t="s">
        <v>64</v>
      </c>
      <c r="B112" s="5" t="s">
        <v>79</v>
      </c>
      <c r="C112" s="14" t="s">
        <v>144</v>
      </c>
      <c r="D112" s="7">
        <v>6</v>
      </c>
      <c r="E112" s="60">
        <f>0.5/1000</f>
        <v>5.0000000000000001E-4</v>
      </c>
      <c r="F112" s="58">
        <f>0.372/1000</f>
        <v>3.7199999999999999E-4</v>
      </c>
      <c r="G112" s="57">
        <f t="shared" si="2"/>
        <v>1.2800000000000002E-4</v>
      </c>
    </row>
    <row r="113" spans="1:7" ht="30" x14ac:dyDescent="0.25">
      <c r="A113" s="4" t="s">
        <v>64</v>
      </c>
      <c r="B113" s="1" t="s">
        <v>83</v>
      </c>
      <c r="C113" s="14" t="s">
        <v>154</v>
      </c>
      <c r="D113" s="7">
        <v>5</v>
      </c>
      <c r="E113" s="63">
        <v>0</v>
      </c>
      <c r="F113" s="60">
        <v>0</v>
      </c>
      <c r="G113" s="57">
        <f t="shared" si="2"/>
        <v>0</v>
      </c>
    </row>
    <row r="114" spans="1:7" ht="45" x14ac:dyDescent="0.25">
      <c r="A114" s="4" t="s">
        <v>64</v>
      </c>
      <c r="B114" s="1" t="s">
        <v>201</v>
      </c>
      <c r="C114" s="14" t="s">
        <v>138</v>
      </c>
      <c r="D114" s="18">
        <v>3</v>
      </c>
      <c r="E114" s="60">
        <f>6.383/1000</f>
        <v>6.3829999999999998E-3</v>
      </c>
      <c r="F114" s="60">
        <v>6.3829999999999998E-3</v>
      </c>
      <c r="G114" s="57">
        <f t="shared" si="2"/>
        <v>0</v>
      </c>
    </row>
    <row r="115" spans="1:7" ht="45" x14ac:dyDescent="0.25">
      <c r="A115" s="4" t="s">
        <v>64</v>
      </c>
      <c r="B115" s="1" t="s">
        <v>202</v>
      </c>
      <c r="C115" s="14" t="s">
        <v>138</v>
      </c>
      <c r="D115" s="18">
        <v>3</v>
      </c>
      <c r="E115" s="60">
        <f>0/1000</f>
        <v>0</v>
      </c>
      <c r="F115" s="60">
        <f>E115</f>
        <v>0</v>
      </c>
      <c r="G115" s="57">
        <f t="shared" si="2"/>
        <v>0</v>
      </c>
    </row>
    <row r="116" spans="1:7" ht="45" x14ac:dyDescent="0.25">
      <c r="A116" s="4" t="s">
        <v>64</v>
      </c>
      <c r="B116" s="1" t="s">
        <v>203</v>
      </c>
      <c r="C116" s="14" t="s">
        <v>138</v>
      </c>
      <c r="D116" s="18">
        <v>3</v>
      </c>
      <c r="E116" s="60">
        <f>1.772/1000</f>
        <v>1.7719999999999999E-3</v>
      </c>
      <c r="F116" s="60">
        <f>E116</f>
        <v>1.7719999999999999E-3</v>
      </c>
      <c r="G116" s="57">
        <f t="shared" si="2"/>
        <v>0</v>
      </c>
    </row>
    <row r="117" spans="1:7" ht="30" x14ac:dyDescent="0.25">
      <c r="A117" s="4" t="s">
        <v>64</v>
      </c>
      <c r="B117" s="5" t="s">
        <v>87</v>
      </c>
      <c r="C117" s="14" t="s">
        <v>178</v>
      </c>
      <c r="D117" s="7">
        <v>7</v>
      </c>
      <c r="E117" s="64">
        <f>0.3/1000</f>
        <v>2.9999999999999997E-4</v>
      </c>
      <c r="F117" s="58">
        <f>0.74/1000</f>
        <v>7.3999999999999999E-4</v>
      </c>
      <c r="G117" s="57">
        <f t="shared" si="2"/>
        <v>-4.4000000000000002E-4</v>
      </c>
    </row>
    <row r="118" spans="1:7" ht="30" x14ac:dyDescent="0.25">
      <c r="A118" s="4" t="s">
        <v>64</v>
      </c>
      <c r="B118" s="5" t="s">
        <v>84</v>
      </c>
      <c r="C118" s="14" t="s">
        <v>178</v>
      </c>
      <c r="D118" s="7">
        <v>6</v>
      </c>
      <c r="E118" s="61">
        <f>0.7/1000</f>
        <v>6.9999999999999999E-4</v>
      </c>
      <c r="F118" s="58">
        <f>0.303/1000</f>
        <v>3.0299999999999999E-4</v>
      </c>
      <c r="G118" s="57">
        <f>E118-F118</f>
        <v>3.97E-4</v>
      </c>
    </row>
    <row r="119" spans="1:7" ht="45" x14ac:dyDescent="0.25">
      <c r="A119" s="4" t="s">
        <v>64</v>
      </c>
      <c r="B119" s="5" t="s">
        <v>86</v>
      </c>
      <c r="C119" s="14" t="s">
        <v>178</v>
      </c>
      <c r="D119" s="7">
        <v>7</v>
      </c>
      <c r="E119" s="64">
        <f>0.1/1000</f>
        <v>1E-4</v>
      </c>
      <c r="F119" s="58">
        <f>0.062/1000</f>
        <v>6.2000000000000003E-5</v>
      </c>
      <c r="G119" s="57">
        <f t="shared" ref="G119:G185" si="3">E119-F119</f>
        <v>3.8000000000000002E-5</v>
      </c>
    </row>
    <row r="120" spans="1:7" ht="53.25" customHeight="1" x14ac:dyDescent="0.25">
      <c r="A120" s="4" t="s">
        <v>64</v>
      </c>
      <c r="B120" s="5" t="s">
        <v>85</v>
      </c>
      <c r="C120" s="14" t="s">
        <v>178</v>
      </c>
      <c r="D120" s="7">
        <v>7</v>
      </c>
      <c r="E120" s="64">
        <f>0.1/1000</f>
        <v>1E-4</v>
      </c>
      <c r="F120" s="58">
        <f>0.065/1000</f>
        <v>6.5000000000000008E-5</v>
      </c>
      <c r="G120" s="57">
        <f t="shared" si="3"/>
        <v>3.4999999999999997E-5</v>
      </c>
    </row>
    <row r="121" spans="1:7" ht="42.75" customHeight="1" x14ac:dyDescent="0.25">
      <c r="A121" s="4" t="s">
        <v>64</v>
      </c>
      <c r="B121" s="30" t="s">
        <v>243</v>
      </c>
      <c r="C121" s="14" t="s">
        <v>178</v>
      </c>
      <c r="D121" s="7">
        <v>7</v>
      </c>
      <c r="E121" s="64">
        <f>0.1/1000</f>
        <v>1E-4</v>
      </c>
      <c r="F121" s="58">
        <f>0/1000</f>
        <v>0</v>
      </c>
      <c r="G121" s="57"/>
    </row>
    <row r="122" spans="1:7" ht="27" customHeight="1" x14ac:dyDescent="0.25">
      <c r="A122" s="4" t="s">
        <v>64</v>
      </c>
      <c r="B122" s="1" t="s">
        <v>88</v>
      </c>
      <c r="C122" s="14" t="s">
        <v>155</v>
      </c>
      <c r="D122" s="7">
        <v>6</v>
      </c>
      <c r="E122" s="61">
        <v>7.1999999999999998E-3</v>
      </c>
      <c r="F122" s="60">
        <v>7.1999999999999998E-3</v>
      </c>
      <c r="G122" s="57">
        <f t="shared" si="3"/>
        <v>0</v>
      </c>
    </row>
    <row r="123" spans="1:7" ht="30" x14ac:dyDescent="0.25">
      <c r="A123" s="4" t="s">
        <v>64</v>
      </c>
      <c r="B123" s="5" t="s">
        <v>90</v>
      </c>
      <c r="C123" s="14" t="s">
        <v>178</v>
      </c>
      <c r="D123" s="7">
        <v>6</v>
      </c>
      <c r="E123" s="64">
        <f>0.1/1000</f>
        <v>1E-4</v>
      </c>
      <c r="F123" s="58">
        <f>0.229/1000</f>
        <v>2.2900000000000001E-4</v>
      </c>
      <c r="G123" s="57">
        <f t="shared" si="3"/>
        <v>-1.2899999999999999E-4</v>
      </c>
    </row>
    <row r="124" spans="1:7" ht="30" x14ac:dyDescent="0.25">
      <c r="A124" s="4" t="s">
        <v>64</v>
      </c>
      <c r="B124" s="5" t="s">
        <v>89</v>
      </c>
      <c r="C124" s="14" t="s">
        <v>178</v>
      </c>
      <c r="D124" s="7">
        <v>6</v>
      </c>
      <c r="E124" s="61">
        <f>0.1/1000</f>
        <v>1E-4</v>
      </c>
      <c r="F124" s="58">
        <f>0.387/1000</f>
        <v>3.8700000000000003E-4</v>
      </c>
      <c r="G124" s="57">
        <f t="shared" si="3"/>
        <v>-2.8700000000000004E-4</v>
      </c>
    </row>
    <row r="125" spans="1:7" ht="45" x14ac:dyDescent="0.25">
      <c r="A125" s="4" t="s">
        <v>64</v>
      </c>
      <c r="B125" s="5" t="s">
        <v>204</v>
      </c>
      <c r="C125" s="14" t="s">
        <v>178</v>
      </c>
      <c r="D125" s="7">
        <v>6</v>
      </c>
      <c r="E125" s="58">
        <f>0.1/1000</f>
        <v>1E-4</v>
      </c>
      <c r="F125" s="58">
        <f>1.872/1000</f>
        <v>1.8720000000000002E-3</v>
      </c>
      <c r="G125" s="57">
        <f t="shared" si="3"/>
        <v>-1.7720000000000001E-3</v>
      </c>
    </row>
    <row r="126" spans="1:7" x14ac:dyDescent="0.25">
      <c r="A126" s="4" t="s">
        <v>64</v>
      </c>
      <c r="B126" s="1" t="s">
        <v>91</v>
      </c>
      <c r="C126" s="14" t="s">
        <v>236</v>
      </c>
      <c r="D126" s="7">
        <v>6</v>
      </c>
      <c r="E126" s="61">
        <f>0.5/1000</f>
        <v>5.0000000000000001E-4</v>
      </c>
      <c r="F126" s="61">
        <f>0/1000</f>
        <v>0</v>
      </c>
      <c r="G126" s="70">
        <f t="shared" si="3"/>
        <v>5.0000000000000001E-4</v>
      </c>
    </row>
    <row r="127" spans="1:7" ht="36" customHeight="1" x14ac:dyDescent="0.25">
      <c r="A127" s="4" t="s">
        <v>64</v>
      </c>
      <c r="B127" s="5" t="s">
        <v>94</v>
      </c>
      <c r="C127" s="14" t="s">
        <v>156</v>
      </c>
      <c r="D127" s="7">
        <v>7</v>
      </c>
      <c r="E127" s="58">
        <f>0/1000</f>
        <v>0</v>
      </c>
      <c r="F127" s="60">
        <f>0/1000</f>
        <v>0</v>
      </c>
      <c r="G127" s="57">
        <f t="shared" si="3"/>
        <v>0</v>
      </c>
    </row>
    <row r="128" spans="1:7" ht="30" x14ac:dyDescent="0.25">
      <c r="A128" s="4" t="s">
        <v>64</v>
      </c>
      <c r="B128" s="5" t="s">
        <v>92</v>
      </c>
      <c r="C128" s="14" t="s">
        <v>156</v>
      </c>
      <c r="D128" s="7">
        <v>6</v>
      </c>
      <c r="E128" s="61">
        <f>0.2/1000</f>
        <v>2.0000000000000001E-4</v>
      </c>
      <c r="F128" s="60">
        <f>E128</f>
        <v>2.0000000000000001E-4</v>
      </c>
      <c r="G128" s="57">
        <f t="shared" si="3"/>
        <v>0</v>
      </c>
    </row>
    <row r="129" spans="1:7" ht="30" x14ac:dyDescent="0.25">
      <c r="A129" s="4" t="s">
        <v>64</v>
      </c>
      <c r="B129" s="5" t="s">
        <v>93</v>
      </c>
      <c r="C129" s="8" t="s">
        <v>205</v>
      </c>
      <c r="D129" s="7">
        <v>7</v>
      </c>
      <c r="E129" s="61">
        <f>0.1/1000</f>
        <v>1E-4</v>
      </c>
      <c r="F129" s="60">
        <f>0</f>
        <v>0</v>
      </c>
      <c r="G129" s="57">
        <f t="shared" si="3"/>
        <v>1E-4</v>
      </c>
    </row>
    <row r="130" spans="1:7" x14ac:dyDescent="0.25">
      <c r="A130" s="4" t="s">
        <v>64</v>
      </c>
      <c r="B130" s="1" t="s">
        <v>95</v>
      </c>
      <c r="C130" s="8" t="s">
        <v>157</v>
      </c>
      <c r="D130" s="7">
        <v>6</v>
      </c>
      <c r="E130" s="61">
        <v>3.0000000000000001E-3</v>
      </c>
      <c r="F130" s="60">
        <f>2.524/1000</f>
        <v>2.5240000000000002E-3</v>
      </c>
      <c r="G130" s="57">
        <f t="shared" si="3"/>
        <v>4.7599999999999986E-4</v>
      </c>
    </row>
    <row r="131" spans="1:7" ht="60" x14ac:dyDescent="0.25">
      <c r="A131" s="4" t="s">
        <v>64</v>
      </c>
      <c r="B131" s="5" t="s">
        <v>96</v>
      </c>
      <c r="C131" s="14" t="s">
        <v>178</v>
      </c>
      <c r="D131" s="7">
        <v>6</v>
      </c>
      <c r="E131" s="61">
        <f>0.3/1000</f>
        <v>2.9999999999999997E-4</v>
      </c>
      <c r="F131" s="60">
        <v>0</v>
      </c>
      <c r="G131" s="57">
        <f t="shared" si="3"/>
        <v>2.9999999999999997E-4</v>
      </c>
    </row>
    <row r="132" spans="1:7" ht="45" x14ac:dyDescent="0.25">
      <c r="A132" s="4" t="s">
        <v>64</v>
      </c>
      <c r="B132" s="5" t="s">
        <v>244</v>
      </c>
      <c r="C132" s="14" t="s">
        <v>178</v>
      </c>
      <c r="D132" s="7">
        <v>6</v>
      </c>
      <c r="E132" s="62">
        <f>0.5/1000</f>
        <v>5.0000000000000001E-4</v>
      </c>
      <c r="F132" s="58">
        <f>0/1000</f>
        <v>0</v>
      </c>
      <c r="G132" s="57">
        <f t="shared" si="3"/>
        <v>5.0000000000000001E-4</v>
      </c>
    </row>
    <row r="133" spans="1:7" ht="45" x14ac:dyDescent="0.25">
      <c r="A133" s="4" t="s">
        <v>64</v>
      </c>
      <c r="B133" s="5" t="s">
        <v>225</v>
      </c>
      <c r="C133" s="14" t="s">
        <v>178</v>
      </c>
      <c r="D133" s="7">
        <v>6</v>
      </c>
      <c r="E133" s="60">
        <f>0.5/1000</f>
        <v>5.0000000000000001E-4</v>
      </c>
      <c r="F133" s="58">
        <f>0.077/1000</f>
        <v>7.7000000000000001E-5</v>
      </c>
      <c r="G133" s="57">
        <f t="shared" si="3"/>
        <v>4.2299999999999998E-4</v>
      </c>
    </row>
    <row r="134" spans="1:7" x14ac:dyDescent="0.25">
      <c r="A134" s="4" t="s">
        <v>64</v>
      </c>
      <c r="B134" s="1" t="s">
        <v>97</v>
      </c>
      <c r="C134" s="8" t="s">
        <v>158</v>
      </c>
      <c r="D134" s="7">
        <v>6</v>
      </c>
      <c r="E134" s="64">
        <f>2/1000</f>
        <v>2E-3</v>
      </c>
      <c r="F134" s="58">
        <f>0.138/1000</f>
        <v>1.3800000000000002E-4</v>
      </c>
      <c r="G134" s="57">
        <f t="shared" si="3"/>
        <v>1.8619999999999999E-3</v>
      </c>
    </row>
    <row r="135" spans="1:7" ht="30" x14ac:dyDescent="0.25">
      <c r="A135" s="4" t="s">
        <v>64</v>
      </c>
      <c r="B135" s="5" t="s">
        <v>100</v>
      </c>
      <c r="C135" s="14" t="s">
        <v>159</v>
      </c>
      <c r="D135" s="7">
        <v>6</v>
      </c>
      <c r="E135" s="61">
        <f>0.1/1000</f>
        <v>1E-4</v>
      </c>
      <c r="F135" s="60">
        <v>0</v>
      </c>
      <c r="G135" s="57">
        <f t="shared" si="3"/>
        <v>1E-4</v>
      </c>
    </row>
    <row r="136" spans="1:7" ht="30" x14ac:dyDescent="0.25">
      <c r="A136" s="4" t="s">
        <v>64</v>
      </c>
      <c r="B136" s="5" t="s">
        <v>98</v>
      </c>
      <c r="C136" s="14" t="s">
        <v>159</v>
      </c>
      <c r="D136" s="7">
        <v>7</v>
      </c>
      <c r="E136" s="61">
        <f>0.1/1000</f>
        <v>1E-4</v>
      </c>
      <c r="F136" s="58">
        <f>0.399/1000</f>
        <v>3.9899999999999999E-4</v>
      </c>
      <c r="G136" s="57">
        <f t="shared" si="3"/>
        <v>-2.99E-4</v>
      </c>
    </row>
    <row r="137" spans="1:7" ht="30" x14ac:dyDescent="0.25">
      <c r="A137" s="4" t="s">
        <v>64</v>
      </c>
      <c r="B137" s="5" t="s">
        <v>99</v>
      </c>
      <c r="C137" s="14" t="s">
        <v>159</v>
      </c>
      <c r="D137" s="7">
        <v>7</v>
      </c>
      <c r="E137" s="60">
        <v>1E-3</v>
      </c>
      <c r="F137" s="60">
        <v>0</v>
      </c>
      <c r="G137" s="70">
        <f t="shared" si="3"/>
        <v>1E-3</v>
      </c>
    </row>
    <row r="138" spans="1:7" ht="30" x14ac:dyDescent="0.25">
      <c r="A138" s="4" t="s">
        <v>64</v>
      </c>
      <c r="B138" s="5" t="s">
        <v>101</v>
      </c>
      <c r="C138" s="8" t="s">
        <v>160</v>
      </c>
      <c r="D138" s="7">
        <v>7</v>
      </c>
      <c r="E138" s="61">
        <v>1E-4</v>
      </c>
      <c r="F138" s="60">
        <f>0.44/1000</f>
        <v>4.4000000000000002E-4</v>
      </c>
      <c r="G138" s="57">
        <f>E138-F138</f>
        <v>-3.4000000000000002E-4</v>
      </c>
    </row>
    <row r="139" spans="1:7" ht="45" x14ac:dyDescent="0.25">
      <c r="A139" s="4" t="s">
        <v>64</v>
      </c>
      <c r="B139" s="5" t="s">
        <v>102</v>
      </c>
      <c r="C139" s="8" t="s">
        <v>160</v>
      </c>
      <c r="D139" s="7">
        <v>7</v>
      </c>
      <c r="E139" s="61">
        <v>1E-4</v>
      </c>
      <c r="F139" s="58">
        <f>0.04/1000</f>
        <v>4.0000000000000003E-5</v>
      </c>
      <c r="G139" s="57">
        <f>E139-F139</f>
        <v>6.0000000000000002E-5</v>
      </c>
    </row>
    <row r="140" spans="1:7" ht="50.45" customHeight="1" x14ac:dyDescent="0.25">
      <c r="A140" s="4" t="s">
        <v>64</v>
      </c>
      <c r="B140" s="1" t="s">
        <v>172</v>
      </c>
      <c r="C140" s="14" t="s">
        <v>178</v>
      </c>
      <c r="D140" s="7">
        <v>6</v>
      </c>
      <c r="E140" s="61">
        <f>0.1/1000</f>
        <v>1E-4</v>
      </c>
      <c r="F140" s="58">
        <f>0/1000</f>
        <v>0</v>
      </c>
      <c r="G140" s="57">
        <f t="shared" si="3"/>
        <v>1E-4</v>
      </c>
    </row>
    <row r="141" spans="1:7" ht="45" x14ac:dyDescent="0.25">
      <c r="A141" s="4" t="s">
        <v>64</v>
      </c>
      <c r="B141" s="1" t="s">
        <v>103</v>
      </c>
      <c r="C141" s="14" t="s">
        <v>178</v>
      </c>
      <c r="D141" s="7">
        <v>6</v>
      </c>
      <c r="E141" s="61">
        <v>0</v>
      </c>
      <c r="F141" s="58">
        <f>0/1000</f>
        <v>0</v>
      </c>
      <c r="G141" s="57">
        <f t="shared" si="3"/>
        <v>0</v>
      </c>
    </row>
    <row r="142" spans="1:7" ht="30" x14ac:dyDescent="0.25">
      <c r="A142" s="4" t="s">
        <v>64</v>
      </c>
      <c r="B142" s="1" t="s">
        <v>104</v>
      </c>
      <c r="C142" s="8" t="s">
        <v>239</v>
      </c>
      <c r="D142" s="7">
        <v>6</v>
      </c>
      <c r="E142" s="61">
        <f>0.3/1000</f>
        <v>2.9999999999999997E-4</v>
      </c>
      <c r="F142" s="61">
        <f>0.1/1000</f>
        <v>1E-4</v>
      </c>
      <c r="G142" s="57">
        <f t="shared" si="3"/>
        <v>1.9999999999999998E-4</v>
      </c>
    </row>
    <row r="143" spans="1:7" ht="30" x14ac:dyDescent="0.25">
      <c r="A143" s="4" t="s">
        <v>64</v>
      </c>
      <c r="B143" s="1" t="s">
        <v>105</v>
      </c>
      <c r="C143" s="8" t="s">
        <v>205</v>
      </c>
      <c r="D143" s="7">
        <v>6</v>
      </c>
      <c r="E143" s="60">
        <f>0.5/1000</f>
        <v>5.0000000000000001E-4</v>
      </c>
      <c r="F143" s="58">
        <f>0.2/1000</f>
        <v>2.0000000000000001E-4</v>
      </c>
      <c r="G143" s="70">
        <f t="shared" si="3"/>
        <v>3.0000000000000003E-4</v>
      </c>
    </row>
    <row r="144" spans="1:7" ht="30" x14ac:dyDescent="0.25">
      <c r="A144" s="4" t="s">
        <v>64</v>
      </c>
      <c r="B144" s="1" t="s">
        <v>106</v>
      </c>
      <c r="C144" s="14" t="s">
        <v>178</v>
      </c>
      <c r="D144" s="7">
        <v>6</v>
      </c>
      <c r="E144" s="61">
        <f>0.3/1000</f>
        <v>2.9999999999999997E-4</v>
      </c>
      <c r="F144" s="60">
        <f>E144</f>
        <v>2.9999999999999997E-4</v>
      </c>
      <c r="G144" s="57">
        <f t="shared" si="3"/>
        <v>0</v>
      </c>
    </row>
    <row r="145" spans="1:7" ht="60" x14ac:dyDescent="0.25">
      <c r="A145" s="4" t="s">
        <v>64</v>
      </c>
      <c r="B145" s="31" t="s">
        <v>240</v>
      </c>
      <c r="C145" s="14" t="s">
        <v>178</v>
      </c>
      <c r="D145" s="7">
        <v>7</v>
      </c>
      <c r="E145" s="58">
        <f>0/1000</f>
        <v>0</v>
      </c>
      <c r="F145" s="58">
        <f>0/1000</f>
        <v>0</v>
      </c>
      <c r="G145" s="57">
        <f t="shared" si="3"/>
        <v>0</v>
      </c>
    </row>
    <row r="146" spans="1:7" ht="60" x14ac:dyDescent="0.25">
      <c r="A146" s="4" t="s">
        <v>64</v>
      </c>
      <c r="B146" s="31" t="s">
        <v>241</v>
      </c>
      <c r="C146" s="14" t="s">
        <v>178</v>
      </c>
      <c r="D146" s="7">
        <v>7</v>
      </c>
      <c r="E146" s="60">
        <v>0</v>
      </c>
      <c r="F146" s="58">
        <f>0/1000</f>
        <v>0</v>
      </c>
      <c r="G146" s="57">
        <f t="shared" si="3"/>
        <v>0</v>
      </c>
    </row>
    <row r="147" spans="1:7" ht="45" x14ac:dyDescent="0.25">
      <c r="A147" s="4" t="s">
        <v>64</v>
      </c>
      <c r="B147" s="5" t="s">
        <v>108</v>
      </c>
      <c r="C147" s="14" t="s">
        <v>178</v>
      </c>
      <c r="D147" s="7">
        <v>7</v>
      </c>
      <c r="E147" s="58">
        <f>0.4/1000</f>
        <v>4.0000000000000002E-4</v>
      </c>
      <c r="F147" s="58">
        <f>E147</f>
        <v>4.0000000000000002E-4</v>
      </c>
      <c r="G147" s="57">
        <f t="shared" si="3"/>
        <v>0</v>
      </c>
    </row>
    <row r="148" spans="1:7" ht="30" x14ac:dyDescent="0.25">
      <c r="A148" s="4" t="s">
        <v>64</v>
      </c>
      <c r="B148" s="5" t="s">
        <v>107</v>
      </c>
      <c r="C148" s="14" t="s">
        <v>178</v>
      </c>
      <c r="D148" s="7">
        <v>6</v>
      </c>
      <c r="E148" s="61">
        <f>0.5/1000</f>
        <v>5.0000000000000001E-4</v>
      </c>
      <c r="F148" s="58">
        <f>0.25/1000</f>
        <v>2.5000000000000001E-4</v>
      </c>
      <c r="G148" s="57">
        <f t="shared" si="3"/>
        <v>2.5000000000000001E-4</v>
      </c>
    </row>
    <row r="149" spans="1:7" x14ac:dyDescent="0.25">
      <c r="A149" s="4" t="s">
        <v>64</v>
      </c>
      <c r="B149" s="1" t="s">
        <v>109</v>
      </c>
      <c r="C149" s="8" t="s">
        <v>205</v>
      </c>
      <c r="D149" s="7">
        <v>7</v>
      </c>
      <c r="E149" s="58">
        <f>0.1/1000</f>
        <v>1E-4</v>
      </c>
      <c r="F149" s="58">
        <f>E149</f>
        <v>1E-4</v>
      </c>
      <c r="G149" s="57">
        <f t="shared" si="3"/>
        <v>0</v>
      </c>
    </row>
    <row r="150" spans="1:7" x14ac:dyDescent="0.25">
      <c r="A150" s="4" t="s">
        <v>64</v>
      </c>
      <c r="B150" s="1" t="s">
        <v>110</v>
      </c>
      <c r="C150" s="8" t="s">
        <v>161</v>
      </c>
      <c r="D150" s="7">
        <v>7</v>
      </c>
      <c r="E150" s="58">
        <v>0</v>
      </c>
      <c r="F150" s="58">
        <v>0</v>
      </c>
      <c r="G150" s="57">
        <f t="shared" si="3"/>
        <v>0</v>
      </c>
    </row>
    <row r="151" spans="1:7" ht="37.9" customHeight="1" x14ac:dyDescent="0.25">
      <c r="A151" s="4" t="s">
        <v>64</v>
      </c>
      <c r="B151" s="1" t="s">
        <v>111</v>
      </c>
      <c r="C151" s="14" t="s">
        <v>178</v>
      </c>
      <c r="D151" s="7">
        <v>7</v>
      </c>
      <c r="E151" s="61">
        <v>1E-4</v>
      </c>
      <c r="F151" s="61">
        <f>0/1000</f>
        <v>0</v>
      </c>
      <c r="G151" s="70">
        <f t="shared" si="3"/>
        <v>1E-4</v>
      </c>
    </row>
    <row r="152" spans="1:7" x14ac:dyDescent="0.25">
      <c r="A152" s="4" t="s">
        <v>64</v>
      </c>
      <c r="B152" s="1" t="s">
        <v>112</v>
      </c>
      <c r="C152" s="8" t="s">
        <v>162</v>
      </c>
      <c r="D152" s="7">
        <v>7</v>
      </c>
      <c r="E152" s="61">
        <f>0.05/1000</f>
        <v>5.0000000000000002E-5</v>
      </c>
      <c r="F152" s="58">
        <f>0/1000</f>
        <v>0</v>
      </c>
      <c r="G152" s="57">
        <f t="shared" si="3"/>
        <v>5.0000000000000002E-5</v>
      </c>
    </row>
    <row r="153" spans="1:7" ht="45" x14ac:dyDescent="0.25">
      <c r="A153" s="4" t="s">
        <v>64</v>
      </c>
      <c r="B153" s="1" t="s">
        <v>245</v>
      </c>
      <c r="C153" s="14" t="s">
        <v>178</v>
      </c>
      <c r="D153" s="7">
        <v>7</v>
      </c>
      <c r="E153" s="61">
        <v>0</v>
      </c>
      <c r="F153" s="61">
        <f>0/1000</f>
        <v>0</v>
      </c>
      <c r="G153" s="70">
        <f t="shared" si="3"/>
        <v>0</v>
      </c>
    </row>
    <row r="154" spans="1:7" ht="30" x14ac:dyDescent="0.25">
      <c r="A154" s="4" t="s">
        <v>64</v>
      </c>
      <c r="B154" s="1" t="s">
        <v>113</v>
      </c>
      <c r="C154" s="8" t="s">
        <v>205</v>
      </c>
      <c r="D154" s="7">
        <v>7</v>
      </c>
      <c r="E154" s="60">
        <f>0/1000</f>
        <v>0</v>
      </c>
      <c r="F154" s="60">
        <f>E154</f>
        <v>0</v>
      </c>
      <c r="G154" s="70">
        <f t="shared" si="3"/>
        <v>0</v>
      </c>
    </row>
    <row r="155" spans="1:7" ht="45" x14ac:dyDescent="0.25">
      <c r="A155" s="4" t="s">
        <v>64</v>
      </c>
      <c r="B155" s="1" t="s">
        <v>114</v>
      </c>
      <c r="C155" s="8" t="s">
        <v>146</v>
      </c>
      <c r="D155" s="7">
        <v>7</v>
      </c>
      <c r="E155" s="61">
        <v>4.86E-4</v>
      </c>
      <c r="F155" s="60">
        <v>0</v>
      </c>
      <c r="G155" s="57">
        <f t="shared" si="3"/>
        <v>4.86E-4</v>
      </c>
    </row>
    <row r="156" spans="1:7" ht="45" x14ac:dyDescent="0.25">
      <c r="A156" s="4" t="s">
        <v>64</v>
      </c>
      <c r="B156" s="5" t="s">
        <v>206</v>
      </c>
      <c r="C156" s="5" t="s">
        <v>207</v>
      </c>
      <c r="D156" s="7">
        <v>7</v>
      </c>
      <c r="E156" s="58">
        <v>0</v>
      </c>
      <c r="F156" s="58">
        <f>0.077/1000</f>
        <v>7.7000000000000001E-5</v>
      </c>
      <c r="G156" s="57">
        <f t="shared" si="3"/>
        <v>-7.7000000000000001E-5</v>
      </c>
    </row>
    <row r="157" spans="1:7" ht="30" x14ac:dyDescent="0.25">
      <c r="A157" s="4" t="s">
        <v>64</v>
      </c>
      <c r="B157" s="5" t="s">
        <v>208</v>
      </c>
      <c r="C157" s="5" t="s">
        <v>209</v>
      </c>
      <c r="D157" s="7">
        <v>7</v>
      </c>
      <c r="E157" s="60">
        <f>0/1000</f>
        <v>0</v>
      </c>
      <c r="F157" s="60">
        <f>0/1000</f>
        <v>0</v>
      </c>
      <c r="G157" s="57">
        <f t="shared" si="3"/>
        <v>0</v>
      </c>
    </row>
    <row r="158" spans="1:7" ht="33.6" customHeight="1" x14ac:dyDescent="0.25">
      <c r="A158" s="4" t="s">
        <v>64</v>
      </c>
      <c r="B158" s="5" t="s">
        <v>210</v>
      </c>
      <c r="C158" s="5" t="s">
        <v>211</v>
      </c>
      <c r="D158" s="7">
        <v>6</v>
      </c>
      <c r="E158" s="61">
        <f>0/1000</f>
        <v>0</v>
      </c>
      <c r="F158" s="61">
        <f>E158</f>
        <v>0</v>
      </c>
      <c r="G158" s="70">
        <f t="shared" si="3"/>
        <v>0</v>
      </c>
    </row>
    <row r="159" spans="1:7" ht="33.6" customHeight="1" x14ac:dyDescent="0.25">
      <c r="A159" s="4" t="s">
        <v>64</v>
      </c>
      <c r="B159" s="5" t="s">
        <v>210</v>
      </c>
      <c r="C159" s="5" t="s">
        <v>251</v>
      </c>
      <c r="D159" s="7">
        <v>6</v>
      </c>
      <c r="E159" s="60">
        <v>0</v>
      </c>
      <c r="F159" s="60">
        <v>0</v>
      </c>
      <c r="G159" s="70">
        <f>E159-F159</f>
        <v>0</v>
      </c>
    </row>
    <row r="160" spans="1:7" ht="60" x14ac:dyDescent="0.25">
      <c r="A160" s="4" t="s">
        <v>64</v>
      </c>
      <c r="B160" s="5" t="s">
        <v>212</v>
      </c>
      <c r="C160" s="5" t="s">
        <v>213</v>
      </c>
      <c r="D160" s="7">
        <v>6</v>
      </c>
      <c r="E160" s="58">
        <f>0.1/1000</f>
        <v>1E-4</v>
      </c>
      <c r="F160" s="58">
        <f>0/1000</f>
        <v>0</v>
      </c>
      <c r="G160" s="57">
        <f t="shared" si="3"/>
        <v>1E-4</v>
      </c>
    </row>
    <row r="161" spans="1:7" x14ac:dyDescent="0.25">
      <c r="A161" s="4" t="s">
        <v>64</v>
      </c>
      <c r="B161" s="5" t="s">
        <v>214</v>
      </c>
      <c r="C161" s="5" t="s">
        <v>215</v>
      </c>
      <c r="D161" s="7">
        <v>4</v>
      </c>
      <c r="E161" s="68">
        <f>1350/1000</f>
        <v>1.35</v>
      </c>
      <c r="F161" s="68">
        <f>669.05/1000</f>
        <v>0.66904999999999992</v>
      </c>
      <c r="G161" s="57">
        <f>E161-F161</f>
        <v>0.68095000000000017</v>
      </c>
    </row>
    <row r="162" spans="1:7" ht="45" x14ac:dyDescent="0.25">
      <c r="A162" s="4" t="s">
        <v>64</v>
      </c>
      <c r="B162" s="5" t="s">
        <v>216</v>
      </c>
      <c r="C162" s="5" t="s">
        <v>217</v>
      </c>
      <c r="D162" s="7">
        <v>6</v>
      </c>
      <c r="E162" s="61">
        <v>0</v>
      </c>
      <c r="F162" s="60">
        <f>0.024/1000</f>
        <v>2.4000000000000001E-5</v>
      </c>
      <c r="G162" s="57">
        <f t="shared" si="3"/>
        <v>-2.4000000000000001E-5</v>
      </c>
    </row>
    <row r="163" spans="1:7" ht="45" x14ac:dyDescent="0.25">
      <c r="A163" s="4" t="s">
        <v>64</v>
      </c>
      <c r="B163" s="5" t="s">
        <v>116</v>
      </c>
      <c r="C163" s="5" t="s">
        <v>164</v>
      </c>
      <c r="D163" s="7">
        <v>7</v>
      </c>
      <c r="E163" s="61">
        <v>2.1999999999999999E-5</v>
      </c>
      <c r="F163" s="58">
        <f>0.01/1000</f>
        <v>1.0000000000000001E-5</v>
      </c>
      <c r="G163" s="57">
        <f t="shared" si="3"/>
        <v>1.1999999999999999E-5</v>
      </c>
    </row>
    <row r="164" spans="1:7" ht="45" x14ac:dyDescent="0.25">
      <c r="A164" s="32" t="s">
        <v>64</v>
      </c>
      <c r="B164" s="23" t="s">
        <v>115</v>
      </c>
      <c r="C164" s="23" t="s">
        <v>163</v>
      </c>
      <c r="D164" s="33">
        <v>7</v>
      </c>
      <c r="E164" s="62">
        <v>2.1999999999999999E-5</v>
      </c>
      <c r="F164" s="71">
        <v>2.1999999999999999E-5</v>
      </c>
      <c r="G164" s="72">
        <f t="shared" si="3"/>
        <v>0</v>
      </c>
    </row>
    <row r="165" spans="1:7" ht="90" x14ac:dyDescent="0.25">
      <c r="A165" s="10" t="s">
        <v>64</v>
      </c>
      <c r="B165" s="1" t="s">
        <v>117</v>
      </c>
      <c r="C165" s="8" t="s">
        <v>165</v>
      </c>
      <c r="D165" s="34">
        <v>6</v>
      </c>
      <c r="E165" s="60">
        <f>0.1/1000</f>
        <v>1E-4</v>
      </c>
      <c r="F165" s="60">
        <v>0</v>
      </c>
      <c r="G165" s="70">
        <f t="shared" si="3"/>
        <v>1E-4</v>
      </c>
    </row>
    <row r="166" spans="1:7" ht="60" x14ac:dyDescent="0.25">
      <c r="A166" s="10" t="s">
        <v>64</v>
      </c>
      <c r="B166" s="1" t="s">
        <v>234</v>
      </c>
      <c r="C166" s="8" t="s">
        <v>233</v>
      </c>
      <c r="D166" s="34">
        <v>7</v>
      </c>
      <c r="E166" s="60">
        <v>2E-3</v>
      </c>
      <c r="F166" s="60">
        <f>0/1000</f>
        <v>0</v>
      </c>
      <c r="G166" s="70">
        <f t="shared" si="3"/>
        <v>2E-3</v>
      </c>
    </row>
    <row r="167" spans="1:7" s="50" customFormat="1" ht="30" x14ac:dyDescent="0.25">
      <c r="A167" s="37" t="s">
        <v>118</v>
      </c>
      <c r="B167" s="20" t="s">
        <v>246</v>
      </c>
      <c r="C167" s="8" t="s">
        <v>166</v>
      </c>
      <c r="D167" s="49">
        <v>2</v>
      </c>
      <c r="E167" s="66">
        <f>30/1000</f>
        <v>0.03</v>
      </c>
      <c r="F167" s="66">
        <f>29.515/1000</f>
        <v>2.9515E-2</v>
      </c>
      <c r="G167" s="67">
        <f>E167-F167</f>
        <v>4.8499999999999932E-4</v>
      </c>
    </row>
    <row r="168" spans="1:7" ht="60" x14ac:dyDescent="0.25">
      <c r="A168" s="16" t="s">
        <v>118</v>
      </c>
      <c r="B168" s="3" t="s">
        <v>119</v>
      </c>
      <c r="C168" s="14" t="s">
        <v>166</v>
      </c>
      <c r="D168" s="35">
        <v>3</v>
      </c>
      <c r="E168" s="60">
        <f>0/1000</f>
        <v>0</v>
      </c>
      <c r="F168" s="60">
        <f>E168</f>
        <v>0</v>
      </c>
      <c r="G168" s="57">
        <f t="shared" si="3"/>
        <v>0</v>
      </c>
    </row>
    <row r="169" spans="1:7" ht="30.6" customHeight="1" x14ac:dyDescent="0.25">
      <c r="A169" s="22" t="s">
        <v>120</v>
      </c>
      <c r="B169" s="5" t="s">
        <v>121</v>
      </c>
      <c r="C169" s="29" t="s">
        <v>167</v>
      </c>
      <c r="D169" s="7">
        <v>4</v>
      </c>
      <c r="E169" s="60">
        <f>55/1000</f>
        <v>5.5E-2</v>
      </c>
      <c r="F169" s="58">
        <f>47.375/1000</f>
        <v>4.7375E-2</v>
      </c>
      <c r="G169" s="57">
        <f t="shared" si="3"/>
        <v>7.6249999999999998E-3</v>
      </c>
    </row>
    <row r="170" spans="1:7" ht="45" x14ac:dyDescent="0.25">
      <c r="A170" s="22" t="s">
        <v>120</v>
      </c>
      <c r="B170" s="5" t="s">
        <v>123</v>
      </c>
      <c r="C170" s="29" t="s">
        <v>167</v>
      </c>
      <c r="D170" s="7">
        <v>4</v>
      </c>
      <c r="E170" s="60">
        <v>0</v>
      </c>
      <c r="F170" s="60">
        <v>0</v>
      </c>
      <c r="G170" s="57">
        <f t="shared" si="3"/>
        <v>0</v>
      </c>
    </row>
    <row r="171" spans="1:7" ht="45" x14ac:dyDescent="0.25">
      <c r="A171" s="22" t="s">
        <v>120</v>
      </c>
      <c r="B171" s="5" t="s">
        <v>122</v>
      </c>
      <c r="C171" s="29" t="s">
        <v>167</v>
      </c>
      <c r="D171" s="7">
        <v>4</v>
      </c>
      <c r="E171" s="60">
        <v>0</v>
      </c>
      <c r="F171" s="60">
        <v>0</v>
      </c>
      <c r="G171" s="57">
        <f t="shared" si="3"/>
        <v>0</v>
      </c>
    </row>
    <row r="172" spans="1:7" ht="30" x14ac:dyDescent="0.25">
      <c r="A172" s="22" t="s">
        <v>120</v>
      </c>
      <c r="B172" s="5" t="s">
        <v>124</v>
      </c>
      <c r="C172" s="5" t="s">
        <v>174</v>
      </c>
      <c r="D172" s="7">
        <v>4</v>
      </c>
      <c r="E172" s="60">
        <f>150/1000</f>
        <v>0.15</v>
      </c>
      <c r="F172" s="60">
        <f>184.279/1000</f>
        <v>0.184279</v>
      </c>
      <c r="G172" s="57">
        <f t="shared" si="3"/>
        <v>-3.4279000000000004E-2</v>
      </c>
    </row>
    <row r="173" spans="1:7" x14ac:dyDescent="0.25">
      <c r="A173" s="22" t="s">
        <v>120</v>
      </c>
      <c r="B173" s="1" t="s">
        <v>125</v>
      </c>
      <c r="C173" s="8" t="s">
        <v>168</v>
      </c>
      <c r="D173" s="7">
        <v>5</v>
      </c>
      <c r="E173" s="60">
        <f>0/1000</f>
        <v>0</v>
      </c>
      <c r="F173" s="58">
        <f>0/1000</f>
        <v>0</v>
      </c>
      <c r="G173" s="57">
        <f t="shared" si="3"/>
        <v>0</v>
      </c>
    </row>
    <row r="174" spans="1:7" x14ac:dyDescent="0.25">
      <c r="A174" s="22" t="s">
        <v>120</v>
      </c>
      <c r="B174" s="5" t="s">
        <v>218</v>
      </c>
      <c r="C174" s="5" t="s">
        <v>169</v>
      </c>
      <c r="D174" s="7">
        <v>5</v>
      </c>
      <c r="E174" s="73">
        <v>0</v>
      </c>
      <c r="F174" s="73">
        <v>0</v>
      </c>
      <c r="G174" s="57">
        <f t="shared" si="3"/>
        <v>0</v>
      </c>
    </row>
    <row r="175" spans="1:7" x14ac:dyDescent="0.25">
      <c r="A175" s="22" t="s">
        <v>120</v>
      </c>
      <c r="B175" s="1" t="s">
        <v>126</v>
      </c>
      <c r="C175" s="8" t="s">
        <v>169</v>
      </c>
      <c r="D175" s="7">
        <v>5</v>
      </c>
      <c r="E175" s="60">
        <f>0/1000</f>
        <v>0</v>
      </c>
      <c r="F175" s="58">
        <f>0/1000</f>
        <v>0</v>
      </c>
      <c r="G175" s="57">
        <f t="shared" si="3"/>
        <v>0</v>
      </c>
    </row>
    <row r="176" spans="1:7" ht="30" x14ac:dyDescent="0.25">
      <c r="A176" s="22" t="s">
        <v>120</v>
      </c>
      <c r="B176" s="1" t="s">
        <v>127</v>
      </c>
      <c r="C176" s="8" t="s">
        <v>170</v>
      </c>
      <c r="D176" s="15">
        <v>4</v>
      </c>
      <c r="E176" s="60">
        <v>0</v>
      </c>
      <c r="F176" s="60">
        <v>0</v>
      </c>
      <c r="G176" s="57">
        <f t="shared" si="3"/>
        <v>0</v>
      </c>
    </row>
    <row r="177" spans="1:7" x14ac:dyDescent="0.25">
      <c r="A177" s="22" t="s">
        <v>120</v>
      </c>
      <c r="B177" s="1" t="s">
        <v>128</v>
      </c>
      <c r="C177" s="8" t="s">
        <v>171</v>
      </c>
      <c r="D177" s="7">
        <v>5</v>
      </c>
      <c r="E177" s="58">
        <f>0/1000</f>
        <v>0</v>
      </c>
      <c r="F177" s="58">
        <f>0/1000</f>
        <v>0</v>
      </c>
      <c r="G177" s="57">
        <f t="shared" si="3"/>
        <v>0</v>
      </c>
    </row>
    <row r="178" spans="1:7" ht="30" x14ac:dyDescent="0.25">
      <c r="A178" s="22" t="s">
        <v>120</v>
      </c>
      <c r="B178" s="1" t="s">
        <v>129</v>
      </c>
      <c r="C178" s="14" t="s">
        <v>178</v>
      </c>
      <c r="D178" s="7">
        <v>5</v>
      </c>
      <c r="E178" s="58">
        <f>5.8/1000</f>
        <v>5.7999999999999996E-3</v>
      </c>
      <c r="F178" s="58">
        <f>4.719/1000</f>
        <v>4.7190000000000001E-3</v>
      </c>
      <c r="G178" s="57">
        <f t="shared" si="3"/>
        <v>1.0809999999999995E-3</v>
      </c>
    </row>
    <row r="179" spans="1:7" ht="45" x14ac:dyDescent="0.25">
      <c r="A179" s="22" t="s">
        <v>120</v>
      </c>
      <c r="B179" s="1" t="s">
        <v>219</v>
      </c>
      <c r="C179" s="36" t="s">
        <v>138</v>
      </c>
      <c r="D179" s="15">
        <v>4</v>
      </c>
      <c r="E179" s="60">
        <v>3.6649999999999999E-3</v>
      </c>
      <c r="F179" s="60">
        <v>3.6649999999999999E-3</v>
      </c>
      <c r="G179" s="57">
        <f t="shared" si="3"/>
        <v>0</v>
      </c>
    </row>
    <row r="180" spans="1:7" ht="45" x14ac:dyDescent="0.25">
      <c r="A180" s="22" t="s">
        <v>120</v>
      </c>
      <c r="B180" s="1" t="s">
        <v>220</v>
      </c>
      <c r="C180" s="36" t="s">
        <v>138</v>
      </c>
      <c r="D180" s="15">
        <v>4</v>
      </c>
      <c r="E180" s="60">
        <f>0.61/1000</f>
        <v>6.0999999999999997E-4</v>
      </c>
      <c r="F180" s="60">
        <f>E180</f>
        <v>6.0999999999999997E-4</v>
      </c>
      <c r="G180" s="57">
        <f t="shared" si="3"/>
        <v>0</v>
      </c>
    </row>
    <row r="181" spans="1:7" ht="45" x14ac:dyDescent="0.25">
      <c r="A181" s="22" t="s">
        <v>120</v>
      </c>
      <c r="B181" s="1" t="s">
        <v>130</v>
      </c>
      <c r="C181" s="8" t="s">
        <v>173</v>
      </c>
      <c r="D181" s="7">
        <v>6</v>
      </c>
      <c r="E181" s="60">
        <v>0</v>
      </c>
      <c r="F181" s="60">
        <v>0</v>
      </c>
      <c r="G181" s="57">
        <f t="shared" si="3"/>
        <v>0</v>
      </c>
    </row>
    <row r="182" spans="1:7" ht="45" x14ac:dyDescent="0.25">
      <c r="A182" s="14" t="s">
        <v>131</v>
      </c>
      <c r="B182" s="1" t="s">
        <v>132</v>
      </c>
      <c r="C182" s="14" t="s">
        <v>167</v>
      </c>
      <c r="D182" s="7">
        <v>4</v>
      </c>
      <c r="E182" s="60">
        <f>20/1000</f>
        <v>0.02</v>
      </c>
      <c r="F182" s="60">
        <f>10.365/1000</f>
        <v>1.0365000000000001E-2</v>
      </c>
      <c r="G182" s="57">
        <f t="shared" si="3"/>
        <v>9.6349999999999995E-3</v>
      </c>
    </row>
    <row r="183" spans="1:7" ht="60" x14ac:dyDescent="0.25">
      <c r="A183" s="14" t="s">
        <v>131</v>
      </c>
      <c r="B183" s="1" t="s">
        <v>133</v>
      </c>
      <c r="C183" s="14" t="s">
        <v>138</v>
      </c>
      <c r="D183" s="15">
        <v>4</v>
      </c>
      <c r="E183" s="60">
        <v>1.4660000000000001E-3</v>
      </c>
      <c r="F183" s="60">
        <v>1.4660000000000001E-3</v>
      </c>
      <c r="G183" s="57">
        <f t="shared" si="3"/>
        <v>0</v>
      </c>
    </row>
    <row r="184" spans="1:7" ht="60" x14ac:dyDescent="0.25">
      <c r="A184" s="14" t="s">
        <v>131</v>
      </c>
      <c r="B184" s="1" t="s">
        <v>221</v>
      </c>
      <c r="C184" s="14" t="s">
        <v>138</v>
      </c>
      <c r="D184" s="15">
        <v>4</v>
      </c>
      <c r="E184" s="58">
        <f>0.213/1000</f>
        <v>2.13E-4</v>
      </c>
      <c r="F184" s="58">
        <f>E184</f>
        <v>2.13E-4</v>
      </c>
      <c r="G184" s="57">
        <f>E184-F184</f>
        <v>0</v>
      </c>
    </row>
    <row r="185" spans="1:7" ht="30.75" thickBot="1" x14ac:dyDescent="0.3">
      <c r="A185" s="37" t="s">
        <v>134</v>
      </c>
      <c r="B185" s="1" t="s">
        <v>135</v>
      </c>
      <c r="C185" s="14" t="s">
        <v>152</v>
      </c>
      <c r="D185" s="15">
        <v>4</v>
      </c>
      <c r="E185" s="63">
        <v>0</v>
      </c>
      <c r="F185" s="69">
        <f>65.665/1000</f>
        <v>6.5665000000000001E-2</v>
      </c>
      <c r="G185" s="57">
        <f t="shared" si="3"/>
        <v>-6.5665000000000001E-2</v>
      </c>
    </row>
    <row r="186" spans="1:7" ht="15.75" thickBot="1" x14ac:dyDescent="0.3">
      <c r="A186" s="43" t="s">
        <v>6</v>
      </c>
      <c r="B186" s="45"/>
      <c r="C186" s="46"/>
      <c r="D186" s="44"/>
      <c r="E186" s="74">
        <f>SUM(E22:E185)</f>
        <v>4.9067110000000023</v>
      </c>
      <c r="F186" s="74">
        <f>SUM(F22:F185)</f>
        <v>3.7255320000000016</v>
      </c>
      <c r="G186" s="75">
        <f>SUM(G22:G185)</f>
        <v>1.1810789999999995</v>
      </c>
    </row>
    <row r="187" spans="1:7" x14ac:dyDescent="0.25">
      <c r="A187" s="42"/>
    </row>
    <row r="188" spans="1:7" x14ac:dyDescent="0.25">
      <c r="A188" s="47"/>
    </row>
    <row r="189" spans="1:7" ht="75.75" customHeight="1" x14ac:dyDescent="0.25">
      <c r="A189" s="48"/>
    </row>
    <row r="190" spans="1:7" ht="94.5" customHeight="1" x14ac:dyDescent="0.25"/>
    <row r="191" spans="1:7" ht="113.25" customHeight="1" x14ac:dyDescent="0.25"/>
    <row r="192" spans="1:7" ht="75.75" customHeight="1" x14ac:dyDescent="0.25"/>
    <row r="193" ht="94.5" customHeight="1" x14ac:dyDescent="0.25"/>
    <row r="194" ht="75.75" customHeight="1" x14ac:dyDescent="0.25"/>
    <row r="195" ht="94.5" customHeight="1" x14ac:dyDescent="0.25"/>
    <row r="196" ht="94.5" customHeight="1" x14ac:dyDescent="0.25"/>
    <row r="197" ht="113.25" customHeight="1" x14ac:dyDescent="0.25"/>
  </sheetData>
  <autoFilter ref="A21:G186"/>
  <mergeCells count="12">
    <mergeCell ref="A15:F15"/>
    <mergeCell ref="A16:F16"/>
    <mergeCell ref="A17:F17"/>
    <mergeCell ref="A18:F18"/>
    <mergeCell ref="A12:F12"/>
    <mergeCell ref="A13:F13"/>
    <mergeCell ref="A6:F6"/>
    <mergeCell ref="A8:F8"/>
    <mergeCell ref="A9:F9"/>
    <mergeCell ref="A10:F10"/>
    <mergeCell ref="A11:F11"/>
    <mergeCell ref="A14:F14"/>
  </mergeCells>
  <phoneticPr fontId="6" type="noConversion"/>
  <pageMargins left="0" right="0.11811023622047245" top="0.15748031496062992" bottom="0.15748031496062992" header="0" footer="0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2022-08-09T10:20:18Z</dcterms:modified>
  <cp:contentStatus/>
</cp:coreProperties>
</file>