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T:\ОТЧЕТЫ\2. Ежемесячные_2021-2025\19. Форма 6_Форма 7_до 05 числа\2026\4. Апрель\"/>
    </mc:Choice>
  </mc:AlternateContent>
  <bookViews>
    <workbookView xWindow="0" yWindow="0" windowWidth="28800" windowHeight="11700"/>
  </bookViews>
  <sheets>
    <sheet name="Лист2" sheetId="2" r:id="rId1"/>
    <sheet name="Лист1" sheetId="3" r:id="rId2"/>
  </sheets>
  <definedNames>
    <definedName name="_FilterDatabaseFix_1Fix_10Fix_10Fix_6Fix_6Fix_6Fix_6Fix_3Fix_3Fix_1Fix_1Fix_10Fix_10" localSheetId="0" hidden="1">Лист2!$A$23:$G$198</definedName>
    <definedName name="_FilterDatabaseFix_2Fix_11Fix_11Fix_7Fix_7Fix_7Fix_7Fix_4Fix_4Fix_2Fix_2Fix_1Fix_1Fix_1Fix_1Fix_1Fix_1Fix_1Fix_1Fix_1Fix_1Fix_1Fix_1Fix_1Fix_1Fix_1Fix_1Fix_1Fix_1Fix_1Fix_1" localSheetId="0" hidden="1">Лист2!$A$22:$A$199</definedName>
    <definedName name="_FilterDatabaseFix_3Fix_12Fix_12Fix_8Fix_8Fix_8Fix_8Fix_5Fix_5Fix_3Fix_3Fix_2Fix_2Fix_2Fix_2Fix_2Fix_2Fix_2Fix_2Fix_2Fix_2Fix_2Fix_2Fix_2Fix_2Fix_2Fix_2Fix_2Fix_2Fix_2" localSheetId="0" hidden="1">Лист2!#REF!</definedName>
    <definedName name="_FilterDatabaseFix_4Fix_13Fix_13Fix_9Fix_9Fix_9Fix_9Fix_6Fix_6Fix_4Fix_4Fix_3Fix_3Fix_3Fix_3Fix_3Fix_3Fix_3Fix_3Fix_3Fix_3Fix_3Fix_3Fix_3Fix_3Fix_3Fix_3Fix_3Fix_3" localSheetId="0" hidden="1">Лист2!$A$23:$G$198</definedName>
    <definedName name="_FilterDatabaseFix_5Fix_14Fix_14" localSheetId="0" hidden="1">Лист2!$A$23:$G$199</definedName>
    <definedName name="_FilterDatabaseFix_6Fix_1Fix_1Fix_10Fix_10Fix_10Fix_10Fix_7Fix_7Fix_5Fix_5Fix_4Fix_4Fix_4Fix_4Fix_4Fix_4Fix_4Fix_4Fix_4Fix_4Fix_4Fix_4Fix_4Fix_4Fix_4Fix_4Fix_4" localSheetId="0" hidden="1">Лист2!$A$23:$G$198</definedName>
    <definedName name="_FilterDatabaseFix_7Fix_2Fix_2Fix_11Fix_11Fix_11Fix_11Fix_8Fix_8Fix_6Fix_6Fix_5Fix_5Fix_5Fix_5Fix_5Fix_5Fix_5Fix_5Fix_5Fix_5Fix_5Fix_5Fix_5Fix_5Fix_5" localSheetId="0" hidden="1">Лист2!$A$23:$G$198</definedName>
    <definedName name="_FilterDatabaseFix_8Fix_3Fix_3Fix_12Fix_12Fix_12Fix_12Fix_9Fix_9Fix_7Fix_7Fix_6Fix_6Fix_6Fix_6Fix_6Fix_6Fix_6Fix_6Fix_6Fix_6Fix_6Fix_6Fix_6" localSheetId="0" hidden="1">Лист2!$A$23:$G$198</definedName>
    <definedName name="_FilterDatabaseFix_9Fix_4Fix_4Fix_13Fix_13Fix_13Fix_13" localSheetId="0" hidden="1">Лист2!$A$23:$G$198</definedName>
    <definedName name="_FilterDatabaseFix_10Fix_5Fix_5Fix_1Fix_1Fix_1Fix_1Fix_10Fix_10Fix_8Fix_8Fix_7Fix_7Fix_7Fix_7Fix_7Fix_7Fix_7Fix_7Fix_7Fix_7Fix_7" localSheetId="0" hidden="1">Лист2!$A$23:$G$198</definedName>
    <definedName name="_FilterDatabaseFix_11Fix_6Fix_6Fix_2Fix_2Fix_2Fix_2Fix_11Fix_11Fix_9Fix_9Fix_8Fix_8Fix_8Fix_8Fix_8Fix_8Fix_8Fix_8Fix_8" localSheetId="0" hidden="1">Лист2!$A$23:$G$198</definedName>
    <definedName name="_FilterDatabaseFix_12Fix_7Fix_7Fix_3Fix_3Fix_3Fix_3Fix_12Fix_12" localSheetId="0" hidden="1">Лист2!$A$23:$G$198</definedName>
    <definedName name="_FilterDatabaseFix_13Fix_8Fix_8Fix_4Fix_4Fix_4Fix_4Fix_1Fix_1Fix_10Fix_10Fix_9Fix_9Fix_9Fix_9" localSheetId="0" hidden="1">Лист2!$A$23:$G$198</definedName>
    <definedName name="_FilterDatabaseFix_14Fix_9Fix_9Fix_5Fix_5Fix_5Fix_5Fix_2Fix_2Fix_11Fix_11" localSheetId="0" hidden="1">Лист2!$A$23:$G$198</definedName>
    <definedName name="_xlnm._FilterDatabaseFix_15" localSheetId="0" hidden="1">Лист2!$A$23:$G$198</definedName>
  </definedNames>
  <calcPr calcId="162913"/>
</workbook>
</file>

<file path=xl/calcChain.xml><?xml version="1.0" encoding="utf-8"?>
<calcChain xmlns="http://schemas.openxmlformats.org/spreadsheetml/2006/main">
  <c r="F199" i="2" l="1"/>
  <c r="E199" i="2"/>
  <c r="F59" i="2" l="1"/>
  <c r="F197" i="2"/>
  <c r="E197" i="2"/>
  <c r="F196" i="2"/>
  <c r="E196" i="2"/>
  <c r="F194" i="2"/>
  <c r="E194" i="2"/>
  <c r="F60" i="2"/>
  <c r="F62" i="2" l="1"/>
  <c r="F61" i="2"/>
  <c r="F99" i="2"/>
  <c r="F98" i="2"/>
  <c r="F33" i="2"/>
  <c r="E33" i="2"/>
  <c r="F32" i="2"/>
  <c r="E32" i="2"/>
  <c r="F150" i="2"/>
  <c r="F151" i="2"/>
  <c r="E151" i="2"/>
  <c r="F192" i="2"/>
  <c r="E192" i="2"/>
  <c r="F188" i="2"/>
  <c r="E188" i="2"/>
  <c r="F183" i="2"/>
  <c r="E178" i="2"/>
  <c r="F178" i="2"/>
  <c r="F185" i="2"/>
  <c r="E185" i="2"/>
  <c r="F160" i="2"/>
  <c r="E160" i="2"/>
  <c r="F158" i="2"/>
  <c r="F184" i="2"/>
  <c r="E184" i="2"/>
  <c r="F148" i="2"/>
  <c r="F143" i="2"/>
  <c r="E143" i="2"/>
  <c r="E152" i="2"/>
  <c r="F172" i="2"/>
  <c r="F142" i="2"/>
  <c r="F187" i="2"/>
  <c r="E187" i="2"/>
  <c r="F186" i="2"/>
  <c r="F138" i="2"/>
  <c r="E138" i="2"/>
  <c r="F146" i="2"/>
  <c r="F147" i="2"/>
  <c r="E147" i="2"/>
  <c r="F154" i="2"/>
  <c r="E154" i="2"/>
  <c r="F163" i="2"/>
  <c r="F159" i="2"/>
  <c r="E159" i="2"/>
  <c r="F165" i="2"/>
  <c r="E165" i="2"/>
  <c r="E164" i="2"/>
  <c r="F170" i="2"/>
  <c r="F169" i="2"/>
  <c r="E166" i="2"/>
  <c r="F167" i="2"/>
  <c r="F168" i="2"/>
  <c r="F181" i="2"/>
  <c r="E181" i="2"/>
  <c r="F180" i="2"/>
  <c r="E180" i="2"/>
  <c r="F179" i="2"/>
  <c r="E179" i="2"/>
  <c r="F137" i="2"/>
  <c r="E137" i="2"/>
  <c r="F193" i="2"/>
  <c r="F144" i="2"/>
  <c r="F141" i="2"/>
  <c r="E141" i="2"/>
  <c r="F139" i="2"/>
  <c r="E139" i="2"/>
  <c r="F136" i="2"/>
  <c r="E136" i="2"/>
  <c r="F135" i="2"/>
  <c r="E135" i="2"/>
  <c r="F133" i="2"/>
  <c r="E133" i="2"/>
  <c r="F134" i="2"/>
  <c r="E134" i="2"/>
  <c r="F132" i="2"/>
  <c r="E132" i="2"/>
  <c r="E131" i="2"/>
  <c r="F130" i="2"/>
  <c r="E130" i="2"/>
  <c r="F128" i="2"/>
  <c r="E128" i="2"/>
  <c r="F127" i="2"/>
  <c r="E127" i="2"/>
  <c r="F126" i="2"/>
  <c r="E126" i="2"/>
  <c r="F125" i="2"/>
  <c r="E125" i="2"/>
  <c r="F124" i="2"/>
  <c r="E124" i="2"/>
  <c r="F123" i="2"/>
  <c r="E123" i="2"/>
  <c r="E122" i="2"/>
  <c r="F121" i="2"/>
  <c r="E121" i="2"/>
  <c r="E120" i="2"/>
  <c r="F101" i="2"/>
  <c r="E101" i="2"/>
  <c r="F100" i="2"/>
  <c r="E100" i="2"/>
  <c r="F84" i="2"/>
  <c r="E84" i="2"/>
  <c r="F83" i="2"/>
  <c r="E83" i="2"/>
  <c r="F97" i="2"/>
  <c r="E97" i="2"/>
  <c r="F96" i="2"/>
  <c r="E96" i="2"/>
  <c r="F94" i="2"/>
  <c r="E94" i="2"/>
  <c r="E93" i="2"/>
  <c r="F95" i="2"/>
  <c r="E95" i="2"/>
  <c r="F90" i="2"/>
  <c r="E90" i="2"/>
  <c r="F89" i="2"/>
  <c r="F88" i="2"/>
  <c r="E88" i="2"/>
  <c r="F87" i="2"/>
  <c r="E87" i="2"/>
  <c r="F86" i="2"/>
  <c r="E86" i="2"/>
  <c r="F82" i="2"/>
  <c r="E82" i="2"/>
  <c r="F46" i="2"/>
  <c r="E46" i="2"/>
  <c r="F45" i="2"/>
  <c r="E45" i="2"/>
  <c r="F44" i="2"/>
  <c r="E44" i="2"/>
  <c r="F43" i="2"/>
  <c r="E43" i="2"/>
  <c r="F42" i="2"/>
  <c r="E42" i="2"/>
  <c r="F41" i="2"/>
  <c r="E41" i="2"/>
  <c r="F39" i="2"/>
  <c r="E39" i="2"/>
  <c r="F54" i="2"/>
  <c r="E54" i="2"/>
  <c r="E53" i="2"/>
  <c r="F51" i="2"/>
  <c r="F52" i="2"/>
  <c r="E52" i="2"/>
  <c r="F49" i="2"/>
  <c r="F50" i="2"/>
  <c r="F47" i="2"/>
  <c r="E47" i="2"/>
  <c r="F48" i="2"/>
  <c r="E48" i="2"/>
  <c r="F81" i="2"/>
  <c r="E81" i="2"/>
  <c r="F80" i="2"/>
  <c r="E80" i="2"/>
  <c r="F79" i="2"/>
  <c r="F78" i="2"/>
  <c r="E77" i="2"/>
  <c r="E76" i="2"/>
  <c r="F75" i="2"/>
  <c r="F74" i="2"/>
  <c r="E74" i="2"/>
  <c r="F73" i="2"/>
  <c r="E73" i="2"/>
  <c r="F72" i="2"/>
  <c r="E72" i="2"/>
  <c r="F70" i="2"/>
  <c r="E70" i="2"/>
  <c r="F69" i="2"/>
  <c r="E69" i="2"/>
  <c r="F68" i="2"/>
  <c r="E68" i="2"/>
  <c r="F67" i="2"/>
  <c r="E67" i="2"/>
  <c r="F66" i="2"/>
  <c r="E66" i="2"/>
  <c r="F64" i="2"/>
  <c r="E64" i="2"/>
  <c r="F119" i="2"/>
  <c r="F118" i="2"/>
  <c r="F117" i="2"/>
  <c r="E117" i="2"/>
  <c r="F116" i="2"/>
  <c r="E116" i="2"/>
  <c r="F114" i="2"/>
  <c r="E114" i="2"/>
  <c r="F113" i="2"/>
  <c r="F112" i="2"/>
  <c r="E112" i="2"/>
  <c r="F111" i="2"/>
  <c r="F109" i="2"/>
  <c r="E109" i="2"/>
  <c r="E108" i="2"/>
  <c r="F107" i="2"/>
  <c r="F106" i="2"/>
  <c r="E105" i="2"/>
  <c r="F104" i="2"/>
  <c r="E104" i="2"/>
  <c r="F103" i="2"/>
  <c r="E103" i="2"/>
  <c r="F102" i="2"/>
  <c r="E102" i="2"/>
  <c r="F58" i="2"/>
  <c r="E58" i="2"/>
  <c r="F56" i="2"/>
  <c r="E56" i="2"/>
  <c r="F55" i="2"/>
  <c r="F37" i="2"/>
  <c r="E37" i="2"/>
  <c r="F36" i="2"/>
  <c r="F35" i="2"/>
  <c r="E35" i="2"/>
  <c r="E36" i="2"/>
  <c r="F31" i="2" l="1"/>
  <c r="E31" i="2"/>
  <c r="F30" i="2"/>
  <c r="E30" i="2"/>
  <c r="F29" i="2"/>
  <c r="F28" i="2"/>
  <c r="E28" i="2"/>
  <c r="F27" i="2"/>
  <c r="E27" i="2"/>
  <c r="F25" i="2"/>
  <c r="E25" i="2"/>
  <c r="F24" i="2"/>
  <c r="E78" i="2" l="1"/>
  <c r="E98" i="2" l="1"/>
  <c r="F195" i="2" l="1"/>
  <c r="E195" i="2"/>
  <c r="F164" i="2"/>
  <c r="E153" i="2"/>
  <c r="F152" i="2"/>
  <c r="E186" i="2"/>
  <c r="E148" i="2"/>
  <c r="E162" i="2"/>
  <c r="F140" i="2"/>
  <c r="E140" i="2"/>
  <c r="F131" i="2"/>
  <c r="E129" i="2"/>
  <c r="F91" i="2"/>
  <c r="E91" i="2"/>
  <c r="E51" i="2"/>
  <c r="F77" i="2"/>
  <c r="E75" i="2"/>
  <c r="E29" i="2"/>
  <c r="E113" i="2" l="1"/>
  <c r="E106" i="2"/>
  <c r="F34" i="2" l="1"/>
  <c r="E34" i="2"/>
  <c r="F57" i="2"/>
  <c r="E57" i="2"/>
  <c r="E55" i="2"/>
  <c r="F38" i="2"/>
  <c r="E38" i="2"/>
  <c r="E61" i="2" l="1"/>
  <c r="F40" i="2"/>
  <c r="E40" i="2"/>
  <c r="F65" i="2" l="1"/>
  <c r="E65" i="2"/>
  <c r="F115" i="2"/>
  <c r="E115" i="2"/>
  <c r="F161" i="2"/>
  <c r="E161" i="2"/>
  <c r="E193" i="2"/>
  <c r="F145" i="2"/>
  <c r="E145" i="2"/>
  <c r="E89" i="2"/>
  <c r="F26" i="2"/>
  <c r="E26" i="2"/>
  <c r="E24" i="2"/>
  <c r="E158" i="2" l="1"/>
  <c r="F171" i="2"/>
  <c r="F155" i="2"/>
  <c r="F189" i="2"/>
  <c r="F122" i="2"/>
  <c r="E79" i="2"/>
  <c r="E119" i="2"/>
  <c r="E183" i="2" l="1"/>
  <c r="E169" i="2"/>
  <c r="E168" i="2"/>
  <c r="E167" i="2"/>
  <c r="E170" i="2"/>
  <c r="E150" i="2"/>
  <c r="E142" i="2"/>
  <c r="E62" i="2" l="1"/>
  <c r="E63" i="2"/>
  <c r="E172" i="2"/>
  <c r="E182" i="2"/>
  <c r="F176" i="2"/>
  <c r="E176" i="2"/>
  <c r="E174" i="2"/>
  <c r="F162" i="2"/>
  <c r="F190" i="2" l="1"/>
  <c r="F191" i="2"/>
  <c r="E191" i="2"/>
  <c r="F157" i="2"/>
  <c r="E157" i="2"/>
  <c r="E155" i="2"/>
  <c r="F149" i="2"/>
  <c r="E149" i="2"/>
  <c r="E110" i="2"/>
  <c r="E107" i="2"/>
  <c r="G100" i="2" l="1"/>
  <c r="G99" i="2"/>
  <c r="G62" i="2"/>
  <c r="G60" i="2"/>
  <c r="E60" i="2"/>
  <c r="G157" i="2"/>
  <c r="G156" i="2"/>
  <c r="G61" i="2" l="1"/>
  <c r="F53" i="2" l="1"/>
  <c r="F182" i="2"/>
  <c r="F175" i="2"/>
  <c r="F166" i="2" l="1"/>
  <c r="F129" i="2"/>
  <c r="E92" i="2" l="1"/>
  <c r="E190" i="2" l="1"/>
  <c r="E189" i="2"/>
  <c r="E171" i="2"/>
  <c r="E146" i="2"/>
  <c r="E144" i="2"/>
  <c r="E111" i="2"/>
  <c r="E50" i="2" l="1"/>
  <c r="G81" i="2" l="1"/>
  <c r="G102" i="2" l="1"/>
  <c r="G101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93" i="2"/>
  <c r="G194" i="2"/>
  <c r="G195" i="2"/>
  <c r="G196" i="2"/>
  <c r="G197" i="2"/>
  <c r="F93" i="2"/>
  <c r="F92" i="2"/>
  <c r="F76" i="2"/>
  <c r="F71" i="2"/>
  <c r="F85" i="2"/>
  <c r="F63" i="2"/>
  <c r="F177" i="2"/>
  <c r="F174" i="2"/>
  <c r="F173" i="2"/>
  <c r="G119" i="2"/>
  <c r="G118" i="2"/>
  <c r="G117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F110" i="2"/>
  <c r="F105" i="2"/>
  <c r="G46" i="2" l="1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4" i="2"/>
  <c r="G25" i="2"/>
  <c r="E49" i="2" l="1"/>
  <c r="E177" i="2" l="1"/>
  <c r="E173" i="2"/>
  <c r="E163" i="2"/>
  <c r="E118" i="2"/>
  <c r="E85" i="2"/>
  <c r="E71" i="2"/>
  <c r="E59" i="2"/>
  <c r="G116" i="2"/>
  <c r="G199" i="2" s="1"/>
</calcChain>
</file>

<file path=xl/sharedStrings.xml><?xml version="1.0" encoding="utf-8"?>
<sst xmlns="http://schemas.openxmlformats.org/spreadsheetml/2006/main" count="543" uniqueCount="264">
  <si>
    <t>АО "Ямалкоммунэнерго"</t>
  </si>
  <si>
    <t>Котельная промбазы</t>
  </si>
  <si>
    <t>Население</t>
  </si>
  <si>
    <t>Технологические нужды АО "Газпром газораспределение Север" (ГРС Пр.Хетта)</t>
  </si>
  <si>
    <t>Потери АО "Газпром газораспределение Север" (ГРС п. Пр.Хетта)</t>
  </si>
  <si>
    <t>Собственные нужды АО "Газпром газораспределение Север" (ГРС п. Пр. Хетта)</t>
  </si>
  <si>
    <t>Котельная № 15  "УМТСиК"</t>
  </si>
  <si>
    <t>Котельная № 16  "ГСМ"</t>
  </si>
  <si>
    <t>Котельная № 17  "КОС"</t>
  </si>
  <si>
    <t>Котельная № 14  "ДЕВ"</t>
  </si>
  <si>
    <t>Котельная №4 п.Сывдарма</t>
  </si>
  <si>
    <t>Технологические нужды АО "Газпром газораспределение Север (ГРС Ягенетская промплощадка КС 01)</t>
  </si>
  <si>
    <t>Потери АО "Газпром газораспределение Север" (ГРС Ягенетская промплощадка КС 01)</t>
  </si>
  <si>
    <t>Котельная №8</t>
  </si>
  <si>
    <t>Котельная магазина</t>
  </si>
  <si>
    <t>Газоснабжение производственной базы</t>
  </si>
  <si>
    <t>Котельная гаража</t>
  </si>
  <si>
    <t>Газоснабжение ГЭС, с. Ныда, Надымский р-он</t>
  </si>
  <si>
    <t>Котельная п. Ныда</t>
  </si>
  <si>
    <t>Потери АО "Газпром газораспределение Север" (ГРС АГРС п. Ныда (МРГ))</t>
  </si>
  <si>
    <t>МПП ЖКХ МО г. Лабытнанги "Ямал"</t>
  </si>
  <si>
    <t>Котельная №1</t>
  </si>
  <si>
    <t>ГРС Обская</t>
  </si>
  <si>
    <t>Технологические нужды АО "Газпром газораспределение Север" (ГРС Обская)</t>
  </si>
  <si>
    <t>Потери АО "Газпром газораспределение Север" (ГРС Обская)</t>
  </si>
  <si>
    <t>Котельная ДЕ-25-14 ГМ</t>
  </si>
  <si>
    <t>Котельная локомотивного депо</t>
  </si>
  <si>
    <t>МиниТеплоЭнергоЦентраль</t>
  </si>
  <si>
    <t>Котельная УРС-18 М (ст. Обская)</t>
  </si>
  <si>
    <t>ЗАО "Недра"</t>
  </si>
  <si>
    <t>Газоснабжение овощехранилища - административного корпуса, г. Лабытнанги, мкр. Обской, Ханмейское шоссе, 32</t>
  </si>
  <si>
    <t>Газоснабжение холодильника (склада) 100 тонн КН 89:09:050205:51, г. Лабытнанги, ст. Обская, ш. Ханмейское</t>
  </si>
  <si>
    <t>ООО "ТСС"</t>
  </si>
  <si>
    <t>ГРС Надым</t>
  </si>
  <si>
    <t>Газоснабжение автоцентра, г. Надым, промзона, панель "Н"</t>
  </si>
  <si>
    <t>ЧУДПО АВТОШКОЛА "АВТОЛИДЕР"</t>
  </si>
  <si>
    <t>Газоснабжение офиса НУ ДПО "Автошколы Автолидер", г. Надым, проезд 8-й</t>
  </si>
  <si>
    <t>МУП "АТП"</t>
  </si>
  <si>
    <t>Газоснабжение административного здания, г. Надым, проезд 8-й</t>
  </si>
  <si>
    <t>ООО "СИТИЛИНК"</t>
  </si>
  <si>
    <t>Газоснабжение нежилого помещения, г. Надым, пр. 8-й, строение 21, гараж № 34</t>
  </si>
  <si>
    <t>БРГ КЦ-1 КС Ныдинская</t>
  </si>
  <si>
    <t>Технологические нужды АО "Газпром газораспределение Север" (БРГ КЦ-1 КС Ныдинская)</t>
  </si>
  <si>
    <t>Потери АО "Газпром газораспределение Север" (БРГ КЦ-1 КС Ныдинская)</t>
  </si>
  <si>
    <t>Котельная № 13</t>
  </si>
  <si>
    <t>Технологические нужды АО "Газпром газораспределение Север" (ГРС с. Красноселькуп)</t>
  </si>
  <si>
    <t>Потери АО "Газпром газораспределение Север" (ГРС с. Красноселькуп)</t>
  </si>
  <si>
    <t>Собственные нужды АО "Газпром газораспределение Север" (ГРС с. Красноселькуп)</t>
  </si>
  <si>
    <t>АО "НУМРГ"</t>
  </si>
  <si>
    <t>Газоснабжение АБК, гаража, с. Красноселькуп, промзона</t>
  </si>
  <si>
    <t>Котельная 20 МВт</t>
  </si>
  <si>
    <t>Котельная 26 МВт</t>
  </si>
  <si>
    <t>Газоснабжение газопоршневой электростанции мощностью 10,5 МВт, с. Красноселькуп, ул. Мамонова, д. 9Г</t>
  </si>
  <si>
    <t>Управление жизнеобеспечения села Красноселькуп Администрации Красноселькупского района</t>
  </si>
  <si>
    <t>Газоснабжение памятника погибшим в Великой Отечественной войне с. Красноселькуп, ул. Советская</t>
  </si>
  <si>
    <t>ООО "Автодор"</t>
  </si>
  <si>
    <t>Газоснабжение УМК-3000, с.Красноселькуп</t>
  </si>
  <si>
    <t>Газоснабжение кафе на 25 мест, с. Красноселькуп, ул. Авиаторов, д. 3б</t>
  </si>
  <si>
    <t>ООО "Ямал-хлеб"</t>
  </si>
  <si>
    <t>ООО Агрофирма "Приполярная"</t>
  </si>
  <si>
    <t>Газоснабжение водогрейного котла наружного размещения (сдвоенный) RSH200, с. Красноселькуп, Промышленная зона, МУП "Совхоз Полярный"</t>
  </si>
  <si>
    <t>Газоснабжение газовой котельной, с. Красноселькуп, ул. Промышленная, соор. 9</t>
  </si>
  <si>
    <t>ООО "КТС"</t>
  </si>
  <si>
    <t>Газоснабжение модульного здания котельной № 1 и модульного здания котельной № 2, с. Красноселькуп, Промышленная зона</t>
  </si>
  <si>
    <t>ГРС Пангоды</t>
  </si>
  <si>
    <t>Собственные нужды ГРО АО "Газпром газораспределение Север" (ГРС Пангоды)</t>
  </si>
  <si>
    <t>ООО "Север"</t>
  </si>
  <si>
    <t>ГРС с. Харсаим</t>
  </si>
  <si>
    <t>Газоснабжение объекта выработки электрической энергии мощностью 2 МВт, ЯНАО, Приуральский район, с. Харсаим, ул. Новая, д. 1</t>
  </si>
  <si>
    <t>Технологические нужды АО "Газпром газораспределение Север" (ГРС с. Харсаим)</t>
  </si>
  <si>
    <t>Потери АО "Газпром газораспределение Север" (ГРС с. Харсаим)</t>
  </si>
  <si>
    <t>ГРС Пуровская</t>
  </si>
  <si>
    <t>Котельная №1 п.Пуровск</t>
  </si>
  <si>
    <t>Котельная №3 п.Пуровск</t>
  </si>
  <si>
    <t>Котельная №2 п.Пуровск</t>
  </si>
  <si>
    <t>Технологические нужды АО "Газпром газораспределение Север" (ГРС Пуровская)</t>
  </si>
  <si>
    <t>Потери АО "Газпром газораспределение Север" (ГРС Пуровская)</t>
  </si>
  <si>
    <t>ООО "Транссервис"</t>
  </si>
  <si>
    <t>Газоснабжение промбазы, Пуровский район, п. Пуровск, промзона</t>
  </si>
  <si>
    <t>МУП "ДСУ"</t>
  </si>
  <si>
    <t>Бокс стоянки техники</t>
  </si>
  <si>
    <t>Котельная стояночного комплекса</t>
  </si>
  <si>
    <t>ООО "ПНПЗ"</t>
  </si>
  <si>
    <t>Котельная и технологическая установка</t>
  </si>
  <si>
    <t>ООО "Пуровский терминал"</t>
  </si>
  <si>
    <t>Котельная БКУ-1000</t>
  </si>
  <si>
    <t>ООО "УНГК"</t>
  </si>
  <si>
    <t>Котельная №3 пр.Губкина</t>
  </si>
  <si>
    <t>ООО "Метелица"</t>
  </si>
  <si>
    <t>ГРС Аксарка</t>
  </si>
  <si>
    <t>Собственные нужды ГРО АО "Газпром газораспределение Север" (ГРС Аксарка)</t>
  </si>
  <si>
    <t>Блочно-модульная котельная (МВКУ-20)</t>
  </si>
  <si>
    <t>Электростанция п.Газ-Сале</t>
  </si>
  <si>
    <t>Котельная магазина "Силуэт"</t>
  </si>
  <si>
    <t>Газоснабжение здания, п.Газ-Сале, ул.Тазовская, д.3</t>
  </si>
  <si>
    <t>ООО "Ямал Газ Синтез"</t>
  </si>
  <si>
    <t>Газоснабжение торгового комплекса, с. Газ-Сале, мкр. Юбилейный, д. 19</t>
  </si>
  <si>
    <t>Газоснабжение торгового центра, п. Газ-Сале, ул. 40 лет Победы, д.10а</t>
  </si>
  <si>
    <t>ТМУДТП</t>
  </si>
  <si>
    <t>Газоснабжение базы ТМУДТП с. Газ-Сале, производственная база в мкр. Юбилейный</t>
  </si>
  <si>
    <t>Население ГРС п. Газ-Сале</t>
  </si>
  <si>
    <t>Технологические нужды АО "Газпром газораспределение Север" (ГРС Газ-Сале)</t>
  </si>
  <si>
    <t>Потери АО "Газпром газораспределение Север" (ГРС п. Газ-Сале)</t>
  </si>
  <si>
    <t>Собственные нужды АО "Газпром газораспределение Север" (ГРС Газ-Сале)</t>
  </si>
  <si>
    <t>ООО "Магма"</t>
  </si>
  <si>
    <t>Газоснабжение магазина "Магма", п. Газ-Сале, ул. Геологоразведчиков, 4а</t>
  </si>
  <si>
    <t>СФ ООО "АК "Ямал", п.Газ-Сале, ул.Калинина, д.9</t>
  </si>
  <si>
    <t>СФ ООО "АК "Ямал", п.Газ-Сале, ул.40 лет Победы, д.8</t>
  </si>
  <si>
    <t>Котельная №7</t>
  </si>
  <si>
    <t>Котельная р-н "Геофизики"</t>
  </si>
  <si>
    <t>Электростанция п.Тазовский</t>
  </si>
  <si>
    <t>Котельная №4</t>
  </si>
  <si>
    <t>Котельная (р-н "Аэропорт")</t>
  </si>
  <si>
    <t>Котельная административного здания ул.Геофизиков,8</t>
  </si>
  <si>
    <t>Хлебозавод</t>
  </si>
  <si>
    <t>Котельная склада №1</t>
  </si>
  <si>
    <t>Котельная склада № 2</t>
  </si>
  <si>
    <t>Котельная Центрального рынка</t>
  </si>
  <si>
    <t>Котельная магазина "Заполярный"</t>
  </si>
  <si>
    <t>Котельная магазина "Полет"</t>
  </si>
  <si>
    <t>Кафе "Сияние севера"</t>
  </si>
  <si>
    <t>Котельная рынка зал № 2</t>
  </si>
  <si>
    <t>Блочно-модульная котельная МК-В-1,2 МВт</t>
  </si>
  <si>
    <t>Население ГРС п.Тазовский</t>
  </si>
  <si>
    <t>Технологические нужды АО "Газпром газораспределение Север" (ГРС п. Тазовский)</t>
  </si>
  <si>
    <t>Потери АО "Газпром газораспределение Север" (ГРС п. Тазовский)</t>
  </si>
  <si>
    <t>Собственные нужды АО "Газпром газораспределение Север" (ГРС п. Тазовский)</t>
  </si>
  <si>
    <t>СФ ООО "АК "Ямал", п. Тазовский, ул. Пиеттомина, д.16</t>
  </si>
  <si>
    <t>Котельная салона-парикмахерской "Сапфир"</t>
  </si>
  <si>
    <t>ООО "Арктик-Шоп"</t>
  </si>
  <si>
    <t>Кафе-бар и магазин</t>
  </si>
  <si>
    <t>Газоснабжение части здания магазина (300,2 кв.м), пгт. Тазовский, ул.Геофизиков, д.28 Б</t>
  </si>
  <si>
    <t>Котельная магазина "Внедорожник" ул.Колхозная,12</t>
  </si>
  <si>
    <t>ООО "Здоровье"</t>
  </si>
  <si>
    <t>Котельная аптеки</t>
  </si>
  <si>
    <t>Котельная, АБК, п. Тазовский, ул. Колхозная, д. 24а</t>
  </si>
  <si>
    <t>Газоснабжение магазина, совмещенного со складом, п. Тазовский, ул. Геофизиков, д. 5А</t>
  </si>
  <si>
    <t>МКУ "Дирекция по обслуживанию деятельности ОМС Тазовского района"</t>
  </si>
  <si>
    <t>МКУ "Дирекция по обслуживанию деятельности ОМС Тазовского района", п.Тазовский, ул.Геофизиков,28</t>
  </si>
  <si>
    <t>Котельная магазина "Настенька", ул.Колхозная 10</t>
  </si>
  <si>
    <t>Газоснабжение здания РММ</t>
  </si>
  <si>
    <t>Котельная магазина "Чайка", ул. Пристанская, 9</t>
  </si>
  <si>
    <t>ООО "Лебедь"</t>
  </si>
  <si>
    <t>Котельная ул. Калинина 14а</t>
  </si>
  <si>
    <t>Газоснабжение административно-бытового здания, п. Тазовский, ул. Северная, д. 10</t>
  </si>
  <si>
    <t>Газоснабжение торгового центра (ПНР), п. Тазовский, ул. Геофизиков, д. 2, корп. Г</t>
  </si>
  <si>
    <t>Газоснабжение части здания магазина (513,1 кв.м), пгт. Тазовский, ул.Геофизиков, д.28 Б</t>
  </si>
  <si>
    <t>Газоснабжение магазина "Камелия", п. Тазовский, ул. Пиеттомина, д. 5, корп. А</t>
  </si>
  <si>
    <t>ГБУЗ ЯНАО "Тазовская ЦРБ"</t>
  </si>
  <si>
    <t>Кухня ул.Калинина,1 г</t>
  </si>
  <si>
    <t>Газоснабжение магазина смешанных товаров, п. Тазовский, ул. Заполярная, д.16, корп.А</t>
  </si>
  <si>
    <t>Котельная торгового комплекса</t>
  </si>
  <si>
    <t>Газоснабжение склада, п.Тазовский, ул.Тундровая, зд.1</t>
  </si>
  <si>
    <t>Котельная магазина "Гепард" ул.Почтовая,17а</t>
  </si>
  <si>
    <t>Котельная магазина "Хозтовары" ул.Почтовая,36</t>
  </si>
  <si>
    <t>Газоснабжение склада строительных материалов, п.Тазовский, ул.Пиеттомина, стр.4</t>
  </si>
  <si>
    <t>Газоснабжение модульного магазина "Елена", пгт. Тазовский, ул. Пиеттомина, д.9</t>
  </si>
  <si>
    <t>Газоснабжение магазина, п.Тазовский, ул.Заполярная, №12Б</t>
  </si>
  <si>
    <t>АО "ЮТэйр-Вертолетные услуги"</t>
  </si>
  <si>
    <t>АО "ЮТэйр-Вертолетные услуги", п. Тазовский, мкр. Геолог, д.2, кв.25</t>
  </si>
  <si>
    <t>АО "ЮТэйр-Инжиниринг"</t>
  </si>
  <si>
    <t>АО "ЮТэйр-Инжиниринг", п. Тазовский, ул. Строителей, д.17, кв.4</t>
  </si>
  <si>
    <t>Котельная магазина "Метелица плюс" ул.Пушкина,21а</t>
  </si>
  <si>
    <t>Департамент строительства и жилищной политики</t>
  </si>
  <si>
    <t>Вечный огонь памятник "Памяти" ул.Ленина</t>
  </si>
  <si>
    <t>Газоснабжение банного комплекса, п. Тазовский, ул. Пушкина, д.22</t>
  </si>
  <si>
    <t>Котельная магазина "Медведь"</t>
  </si>
  <si>
    <t>Котельная магазина, ул. Почтовая, д.10</t>
  </si>
  <si>
    <t>Газоснабжение магазина "Метелица 1", п. Тазовский, ул.Геофизиков, д.24а</t>
  </si>
  <si>
    <t>Газоснабжение магазина, пгт. Тазовский, мкр. Геолог, д. 7а</t>
  </si>
  <si>
    <t>Газоснабжение магазина, п. Тазовский, ул. Пристанская, д. 37 б</t>
  </si>
  <si>
    <t>ООО "Алекс"</t>
  </si>
  <si>
    <t>Котельная склада ул.Пиеттомина</t>
  </si>
  <si>
    <t>Котельная магазина "Алекс 1" ул.Калинина</t>
  </si>
  <si>
    <t>Котельная магазина "Алекс 3" ул.Ленина</t>
  </si>
  <si>
    <t>Котельная магазина ул.Пристанская,6</t>
  </si>
  <si>
    <t>Газоснабжение автомастерской</t>
  </si>
  <si>
    <t>Технологические нужды АО "Газпром газораспределение Север" (АГРС Уренгойская ГРЭС)</t>
  </si>
  <si>
    <t>Потери АО "Газпром газораспределение Север" (АГРС Уренгойская ГРЭС)</t>
  </si>
  <si>
    <t>Собственные нужды АО "Газпром газораспределение Север" (АГРС Уренгойская ГРЭС)</t>
  </si>
  <si>
    <t>МКУ УКС Тазовского района</t>
  </si>
  <si>
    <t>Газоснабжение котельной производительностью 45 МВт с возможностью расширения до 55 МВт (ПНР), п. Тазовский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</si>
  <si>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</si>
  <si>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</si>
  <si>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</si>
  <si>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газопотребления/транзит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</si>
  <si>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</si>
  <si>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</si>
  <si>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Ямальский филиал ООО "Газпромтранс"</t>
  </si>
  <si>
    <t>УС филиал ООО "Газпром добыча Надым"</t>
  </si>
  <si>
    <t>АО "Газпром газораспределение Север"</t>
  </si>
  <si>
    <t>Филиал АО "Ямалкоммунэнерго" в Приуральском районе</t>
  </si>
  <si>
    <t>АО "Газпром газораспределение Север" (ГРС с. Харсаим)</t>
  </si>
  <si>
    <t>Газоснабжение модульной котельной, г.Надым, проезд №8</t>
  </si>
  <si>
    <t>ГРС Уренгойская ГРЭС</t>
  </si>
  <si>
    <t>ГРС Северная, ГРС Южная</t>
  </si>
  <si>
    <t xml:space="preserve">Население </t>
  </si>
  <si>
    <t>ОАО "УТГ-1"</t>
  </si>
  <si>
    <t>ГРС Газ-Сале</t>
  </si>
  <si>
    <t>Тазовское потребительское общество</t>
  </si>
  <si>
    <t>Судно-завод "Флотметанол", Тазовский район, с. Газ-Сале, западнее причала Роснефть 10 м</t>
  </si>
  <si>
    <t>СФ ООО "АК "Ямал"</t>
  </si>
  <si>
    <t>Газоснабжение магазина, п. Газ-Сале, мкр. Юбилейный, д. 15б</t>
  </si>
  <si>
    <t>ГРС Красноселькуп</t>
  </si>
  <si>
    <t>Газоснабжение модульной мини-пекарни по производству хлеба и хлебобулочных изделий, с. Красноселькуп, ул. Полярная</t>
  </si>
  <si>
    <t>ГРС Пр. Хетта</t>
  </si>
  <si>
    <t>Надымский филиал ООО "Газпром энерго"</t>
  </si>
  <si>
    <t>АГРС п. Ныда</t>
  </si>
  <si>
    <t>Филиал АО "Ямалкоммунэнерго" в Надымском районе</t>
  </si>
  <si>
    <t>Технологические нужды АО "Газпром газораспределение Север" (ГРС АГРС п. Ныда (МРГ)</t>
  </si>
  <si>
    <t>КС Лонг-Юганская</t>
  </si>
  <si>
    <t>КС Ягельная</t>
  </si>
  <si>
    <t>КС Приозерная</t>
  </si>
  <si>
    <t>ГРС Тазовский</t>
  </si>
  <si>
    <t>Филиал АО "Ямалкоммунэнерго" в Тазовском районе</t>
  </si>
  <si>
    <t>ТМУ ДТП</t>
  </si>
  <si>
    <t>Газоснабжение магазина канцтоваров, п. Тазовский, ул.Геофизиков, д.28б              (60,5 кв.м.)</t>
  </si>
  <si>
    <t>Котельная магазина "Фея-2"  ул.Геофизиков, 27б</t>
  </si>
  <si>
    <t>Котельная магазина "Фея-3" ул.Пушкина,30б</t>
  </si>
  <si>
    <t>Котельная гаража по
 ул. Пиетомина</t>
  </si>
  <si>
    <r>
      <t>Котельная магазина "Дальний с</t>
    </r>
    <r>
      <rPr>
        <sz val="10"/>
        <color indexed="8"/>
        <rFont val="Times New Roman"/>
        <family val="1"/>
        <charset val="204"/>
      </rPr>
      <t>вет"</t>
    </r>
  </si>
  <si>
    <t>Закрытое акционерное общество "АЛЬФА-ГАЗ"</t>
  </si>
  <si>
    <t>Газоснабжение холодного склада для бытовых нужд, п.Тазовский, ул. Пиеттомина, д. 2б</t>
  </si>
  <si>
    <t>Газоснабжение торгового комплекса "Ямал" 
п. Тазовский, ул. Пушкина, 
д. 21</t>
  </si>
  <si>
    <t>ГРС Ягенетская промплощадка</t>
  </si>
  <si>
    <t>Филиал АО "Ямалкоммунэнерго" в Пуровском районе "Тепло"</t>
  </si>
  <si>
    <t>Газоснабжение АБЗ, Пуровский район, п.Пуровск</t>
  </si>
  <si>
    <t>приложение № 4</t>
  </si>
  <si>
    <t>к приказу ФАС России</t>
  </si>
  <si>
    <t>от 08.12.2022 № 960/22</t>
  </si>
  <si>
    <t>Форма 6</t>
  </si>
  <si>
    <t>Информация</t>
  </si>
  <si>
    <t>о наличии (отсутствии) технической возможности доступа</t>
  </si>
  <si>
    <t>к регулируемым услугам по транспортировке газа</t>
  </si>
  <si>
    <t>по газораспределительным сетям</t>
  </si>
  <si>
    <t>(наименование субъекта естественной монополии)</t>
  </si>
  <si>
    <t>(месяц)</t>
  </si>
  <si>
    <t>___________</t>
  </si>
  <si>
    <t>(период)</t>
  </si>
  <si>
    <t>АО "Газпром газораспределение Север" ф-л в ЯНАО</t>
  </si>
  <si>
    <t>Газоснабжение производственной базы, г. Надым, п. 107 км</t>
  </si>
  <si>
    <t>ООО "Северспецтехника-бурение"</t>
  </si>
  <si>
    <t>Газоснабжение административного здания, гаража</t>
  </si>
  <si>
    <t>Газоснабжение гаража, г. Надым, пр. 8-й, Панель Н</t>
  </si>
  <si>
    <t>ООО "Стройкомплекс-94"</t>
  </si>
  <si>
    <t>Население ГРС с. Красноселькуп</t>
  </si>
  <si>
    <t>Газоснабжение нежилых зданий АЗС и СТО, Красноселькупский р-н, село Красноселькуп, промзона, КН 89:07:010101:11619, КН 89:07:010101:11620</t>
  </si>
  <si>
    <t>Индивидуальный предприниматель</t>
  </si>
  <si>
    <t>Газоснабжение нежилого здания "Контора", Красноселькупский р-н, с. Красноселькуп, Промышленная зона, КН 89:07:010101:7378</t>
  </si>
  <si>
    <t>Приозерное ЛПУ ООО "Газпром трансгаз Югорск"</t>
  </si>
  <si>
    <t>ООО "Газпром трансгаз Югорск"</t>
  </si>
  <si>
    <t>Газоснабжение квартир, п. Приозерный, ул. ФК-2, д. 19, кв. 37 - 48</t>
  </si>
  <si>
    <t>Лонг-Юганское ЛПУ ООО "Газпром трансгаз Югорск"</t>
  </si>
  <si>
    <t>Ягельное ЛПУ ООО "Газпром трансгаз Югорск"</t>
  </si>
  <si>
    <t>АО "ГАЗПРОМ ГАЗОРАСПРЕДЕЛЕНИЕ СЕВЕР"</t>
  </si>
  <si>
    <t>Население ГРС Пуровская</t>
  </si>
  <si>
    <t>Физическое лицо</t>
  </si>
  <si>
    <t>Объемы газа в соответствии с поступившими заявками, млн. куб. м</t>
  </si>
  <si>
    <t>ООО "Тундровик"</t>
  </si>
  <si>
    <t>Газоснабжение нежилого здания КБО, Тазовский р-н, пгт. Тазовский, ул. Ленина, д. 8</t>
  </si>
  <si>
    <t>Газоснабжение торгового центра "Адмирал", с. Красноселькуп, ул. Нагорная, д. 51</t>
  </si>
  <si>
    <t>ООО  "Империя вкуса"</t>
  </si>
  <si>
    <t>Газоснабжение нежилого здания магазина "Лебедь", р-н Тазовский, пгт. Тазовский, ул. Калинина, д. 14а</t>
  </si>
  <si>
    <r>
      <t xml:space="preserve">на  апрель </t>
    </r>
    <r>
      <rPr>
        <u/>
        <sz val="10"/>
        <color theme="1"/>
        <rFont val="Courier New"/>
        <family val="3"/>
        <charset val="204"/>
      </rPr>
      <t xml:space="preserve">2026 </t>
    </r>
    <r>
      <rPr>
        <sz val="10"/>
        <color theme="1"/>
        <rFont val="Courier New"/>
        <family val="3"/>
        <charset val="204"/>
      </rPr>
      <t>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</si>
</sst>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#,##0.0000000"/>
    <numFmt numFmtId="166" formatCode="0.0000000"/>
  </numFmts>
  <fonts count="11" x14ac:knownFonts="1">
    <font>
      <sz val="8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ourier New"/>
      <family val="3"/>
      <charset val="204"/>
    </font>
    <font>
      <u/>
      <sz val="10"/>
      <color theme="1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/>
    <xf numFmtId="0" fontId="4" fillId="2" borderId="6" xfId="1" applyFont="1" applyFill="1" applyBorder="1" applyAlignment="1">
      <alignment vertical="center"/>
    </xf>
    <xf numFmtId="1" fontId="5" fillId="2" borderId="7" xfId="0" applyNumberFormat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left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vertical="center" wrapText="1"/>
    </xf>
    <xf numFmtId="1" fontId="5" fillId="2" borderId="1" xfId="1" applyNumberFormat="1" applyFont="1" applyFill="1" applyBorder="1" applyAlignment="1">
      <alignment horizontal="center" vertical="center"/>
    </xf>
    <xf numFmtId="1" fontId="5" fillId="2" borderId="8" xfId="1" applyNumberFormat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vertical="center"/>
    </xf>
    <xf numFmtId="0" fontId="4" fillId="2" borderId="11" xfId="1" applyFont="1" applyFill="1" applyBorder="1" applyAlignment="1">
      <alignment vertical="center"/>
    </xf>
    <xf numFmtId="0" fontId="4" fillId="2" borderId="12" xfId="0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vertical="center"/>
    </xf>
    <xf numFmtId="1" fontId="6" fillId="2" borderId="8" xfId="0" applyNumberFormat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vertical="center" wrapText="1"/>
    </xf>
    <xf numFmtId="1" fontId="5" fillId="2" borderId="13" xfId="0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vertical="center" wrapText="1"/>
    </xf>
    <xf numFmtId="0" fontId="4" fillId="2" borderId="5" xfId="1" applyFont="1" applyFill="1" applyBorder="1" applyAlignment="1">
      <alignment horizontal="left" vertical="center"/>
    </xf>
    <xf numFmtId="1" fontId="5" fillId="2" borderId="15" xfId="0" applyNumberFormat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1" fontId="5" fillId="2" borderId="15" xfId="1" applyNumberFormat="1" applyFont="1" applyFill="1" applyBorder="1" applyAlignment="1">
      <alignment horizontal="center" vertical="center"/>
    </xf>
    <xf numFmtId="1" fontId="5" fillId="2" borderId="19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2" borderId="5" xfId="0" applyFill="1" applyBorder="1"/>
    <xf numFmtId="0" fontId="0" fillId="0" borderId="0" xfId="0" applyAlignment="1">
      <alignment horizontal="center" vertical="center"/>
    </xf>
    <xf numFmtId="164" fontId="0" fillId="2" borderId="0" xfId="0" applyNumberFormat="1" applyFill="1"/>
    <xf numFmtId="0" fontId="1" fillId="0" borderId="0" xfId="0" applyFont="1" applyAlignment="1">
      <alignment horizontal="center" vertical="center"/>
    </xf>
    <xf numFmtId="164" fontId="5" fillId="2" borderId="20" xfId="0" applyNumberFormat="1" applyFont="1" applyFill="1" applyBorder="1" applyAlignment="1">
      <alignment horizontal="center" vertical="center" wrapText="1"/>
    </xf>
    <xf numFmtId="1" fontId="5" fillId="2" borderId="22" xfId="0" applyNumberFormat="1" applyFont="1" applyFill="1" applyBorder="1" applyAlignment="1">
      <alignment horizontal="center" vertical="center"/>
    </xf>
    <xf numFmtId="0" fontId="0" fillId="2" borderId="0" xfId="0" applyFill="1"/>
    <xf numFmtId="165" fontId="3" fillId="2" borderId="5" xfId="0" applyNumberFormat="1" applyFont="1" applyFill="1" applyBorder="1" applyAlignment="1">
      <alignment horizontal="right" wrapText="1"/>
    </xf>
    <xf numFmtId="165" fontId="0" fillId="2" borderId="5" xfId="0" applyNumberFormat="1" applyFill="1" applyBorder="1"/>
    <xf numFmtId="164" fontId="5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165" fontId="0" fillId="2" borderId="6" xfId="0" applyNumberFormat="1" applyFill="1" applyBorder="1"/>
    <xf numFmtId="164" fontId="0" fillId="2" borderId="0" xfId="0" applyNumberFormat="1" applyFill="1" applyAlignment="1">
      <alignment horizontal="left" vertical="center"/>
    </xf>
    <xf numFmtId="1" fontId="5" fillId="2" borderId="0" xfId="0" applyNumberFormat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11" xfId="2" applyFont="1" applyFill="1" applyBorder="1" applyAlignment="1">
      <alignment horizontal="center" vertical="center" wrapText="1"/>
    </xf>
    <xf numFmtId="0" fontId="4" fillId="2" borderId="11" xfId="1" applyFont="1" applyFill="1" applyBorder="1" applyAlignment="1" applyProtection="1">
      <alignment vertical="center" wrapText="1"/>
      <protection locked="0"/>
    </xf>
    <xf numFmtId="0" fontId="6" fillId="2" borderId="5" xfId="2" applyFont="1" applyFill="1" applyBorder="1" applyAlignment="1">
      <alignment horizontal="center" vertical="center" wrapText="1"/>
    </xf>
    <xf numFmtId="0" fontId="4" fillId="2" borderId="11" xfId="1" applyFont="1" applyFill="1" applyBorder="1" applyAlignment="1" applyProtection="1">
      <alignment horizontal="left" vertical="center" wrapText="1"/>
      <protection locked="0"/>
    </xf>
    <xf numFmtId="0" fontId="4" fillId="2" borderId="5" xfId="1" applyFont="1" applyFill="1" applyBorder="1" applyAlignment="1" applyProtection="1">
      <alignment vertical="center" wrapText="1"/>
      <protection locked="0"/>
    </xf>
    <xf numFmtId="0" fontId="4" fillId="2" borderId="21" xfId="1" applyFont="1" applyFill="1" applyBorder="1" applyAlignment="1" applyProtection="1">
      <alignment vertical="center" wrapText="1"/>
      <protection locked="0"/>
    </xf>
    <xf numFmtId="0" fontId="6" fillId="2" borderId="6" xfId="2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vertical="center" wrapText="1"/>
    </xf>
    <xf numFmtId="0" fontId="6" fillId="2" borderId="11" xfId="1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1" fontId="5" fillId="2" borderId="25" xfId="0" applyNumberFormat="1" applyFont="1" applyFill="1" applyBorder="1" applyAlignment="1">
      <alignment horizontal="center" vertical="center"/>
    </xf>
    <xf numFmtId="1" fontId="5" fillId="2" borderId="5" xfId="0" applyNumberFormat="1" applyFont="1" applyFill="1" applyBorder="1" applyAlignment="1">
      <alignment horizontal="center" vertical="center"/>
    </xf>
    <xf numFmtId="165" fontId="0" fillId="2" borderId="0" xfId="0" applyNumberFormat="1" applyFill="1"/>
    <xf numFmtId="165" fontId="3" fillId="2" borderId="0" xfId="0" applyNumberFormat="1" applyFont="1" applyFill="1"/>
    <xf numFmtId="165" fontId="3" fillId="2" borderId="0" xfId="0" applyNumberFormat="1" applyFont="1" applyFill="1" applyAlignment="1">
      <alignment horizontal="left"/>
    </xf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10" fillId="0" borderId="0" xfId="0" applyFont="1" applyAlignment="1">
      <alignment horizontal="center" vertical="center"/>
    </xf>
    <xf numFmtId="165" fontId="3" fillId="2" borderId="6" xfId="0" applyNumberFormat="1" applyFont="1" applyFill="1" applyBorder="1" applyAlignment="1">
      <alignment horizontal="right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9" defaultPivotStyle="PivotStyleLight16"/>
  <colors>
    <mruColors>
      <color rgb="FFCCFFFF"/>
      <color rgb="FF99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99"/>
  <sheetViews>
    <sheetView tabSelected="1" topLeftCell="A189" zoomScale="110" zoomScaleNormal="110" workbookViewId="0">
      <selection activeCell="E24" sqref="E24:F197"/>
    </sheetView>
  </sheetViews>
  <sheetFormatPr defaultRowHeight="11.25" x14ac:dyDescent="0.2"/>
  <cols>
    <col min="1" max="1" width="28" customWidth="1"/>
    <col min="2" max="2" width="28" style="36" customWidth="1"/>
    <col min="3" max="3" width="33.33203125" style="36" customWidth="1"/>
    <col min="4" max="4" width="6" style="1" customWidth="1"/>
    <col min="5" max="5" width="11.6640625" style="80" customWidth="1"/>
    <col min="6" max="6" width="18" style="36" customWidth="1"/>
    <col min="7" max="7" width="16.5" style="36" customWidth="1"/>
  </cols>
  <sheetData>
    <row r="4" spans="1:7" x14ac:dyDescent="0.2">
      <c r="A4" s="31"/>
      <c r="D4"/>
      <c r="E4" s="79"/>
      <c r="F4" s="32"/>
      <c r="G4" s="32"/>
    </row>
    <row r="5" spans="1:7" x14ac:dyDescent="0.2">
      <c r="A5" s="31"/>
      <c r="D5"/>
      <c r="E5" s="79"/>
      <c r="F5" s="42" t="s">
        <v>227</v>
      </c>
    </row>
    <row r="6" spans="1:7" x14ac:dyDescent="0.2">
      <c r="A6" s="31"/>
      <c r="D6"/>
      <c r="E6" s="79"/>
      <c r="F6" s="42" t="s">
        <v>228</v>
      </c>
    </row>
    <row r="7" spans="1:7" x14ac:dyDescent="0.2">
      <c r="A7" s="31"/>
      <c r="D7"/>
      <c r="E7" s="79"/>
      <c r="F7" s="42" t="s">
        <v>229</v>
      </c>
    </row>
    <row r="8" spans="1:7" x14ac:dyDescent="0.2">
      <c r="A8" s="31"/>
      <c r="D8"/>
      <c r="E8" s="79"/>
      <c r="F8" s="32"/>
      <c r="G8" s="32"/>
    </row>
    <row r="9" spans="1:7" ht="15" x14ac:dyDescent="0.2">
      <c r="A9" s="84" t="s">
        <v>230</v>
      </c>
      <c r="B9" s="85"/>
      <c r="C9" s="85"/>
      <c r="D9" s="84"/>
      <c r="E9" s="84"/>
      <c r="F9" s="84"/>
      <c r="G9" s="84"/>
    </row>
    <row r="10" spans="1:7" ht="15" x14ac:dyDescent="0.2">
      <c r="A10" s="33"/>
      <c r="D10"/>
      <c r="E10" s="79"/>
      <c r="F10" s="32"/>
      <c r="G10" s="32"/>
    </row>
    <row r="11" spans="1:7" ht="13.5" x14ac:dyDescent="0.2">
      <c r="A11" s="82" t="s">
        <v>231</v>
      </c>
      <c r="B11" s="83"/>
      <c r="C11" s="83"/>
      <c r="D11" s="82"/>
      <c r="E11" s="82"/>
      <c r="F11" s="82"/>
      <c r="G11" s="82"/>
    </row>
    <row r="12" spans="1:7" ht="13.5" x14ac:dyDescent="0.2">
      <c r="A12" s="82" t="s">
        <v>232</v>
      </c>
      <c r="B12" s="83"/>
      <c r="C12" s="83"/>
      <c r="D12" s="82"/>
      <c r="E12" s="82"/>
      <c r="F12" s="82"/>
      <c r="G12" s="82"/>
    </row>
    <row r="13" spans="1:7" ht="13.5" x14ac:dyDescent="0.2">
      <c r="A13" s="82" t="s">
        <v>233</v>
      </c>
      <c r="B13" s="83"/>
      <c r="C13" s="83"/>
      <c r="D13" s="82"/>
      <c r="E13" s="82"/>
      <c r="F13" s="82"/>
      <c r="G13" s="82"/>
    </row>
    <row r="14" spans="1:7" ht="13.5" x14ac:dyDescent="0.2">
      <c r="A14" s="82" t="s">
        <v>234</v>
      </c>
      <c r="B14" s="83"/>
      <c r="C14" s="83"/>
      <c r="D14" s="82"/>
      <c r="E14" s="82"/>
      <c r="F14" s="82"/>
      <c r="G14" s="82"/>
    </row>
    <row r="15" spans="1:7" ht="13.5" x14ac:dyDescent="0.2">
      <c r="A15" s="86" t="s">
        <v>239</v>
      </c>
      <c r="B15" s="83"/>
      <c r="C15" s="83"/>
      <c r="D15" s="82"/>
      <c r="E15" s="82"/>
      <c r="F15" s="82"/>
      <c r="G15" s="82"/>
    </row>
    <row r="16" spans="1:7" ht="13.5" x14ac:dyDescent="0.2">
      <c r="A16" s="82" t="s">
        <v>235</v>
      </c>
      <c r="B16" s="83"/>
      <c r="C16" s="83"/>
      <c r="D16" s="82"/>
      <c r="E16" s="82"/>
      <c r="F16" s="82"/>
      <c r="G16" s="82"/>
    </row>
    <row r="17" spans="1:7" ht="13.5" x14ac:dyDescent="0.2">
      <c r="A17" s="82" t="s">
        <v>263</v>
      </c>
      <c r="B17" s="83"/>
      <c r="C17" s="83"/>
      <c r="D17" s="82"/>
      <c r="E17" s="82"/>
      <c r="F17" s="82"/>
      <c r="G17" s="82"/>
    </row>
    <row r="18" spans="1:7" ht="13.5" x14ac:dyDescent="0.2">
      <c r="A18" s="82" t="s">
        <v>236</v>
      </c>
      <c r="B18" s="83"/>
      <c r="C18" s="83"/>
      <c r="D18" s="82"/>
      <c r="E18" s="82"/>
      <c r="F18" s="82"/>
      <c r="G18" s="82"/>
    </row>
    <row r="19" spans="1:7" ht="13.5" x14ac:dyDescent="0.2">
      <c r="A19" s="82"/>
      <c r="B19" s="83"/>
      <c r="C19" s="83"/>
      <c r="D19" s="82"/>
      <c r="E19" s="82"/>
      <c r="F19" s="82"/>
      <c r="G19" s="82"/>
    </row>
    <row r="20" spans="1:7" ht="13.5" x14ac:dyDescent="0.2">
      <c r="A20" s="82" t="s">
        <v>237</v>
      </c>
      <c r="B20" s="83"/>
      <c r="C20" s="83"/>
      <c r="D20" s="82"/>
      <c r="E20" s="82"/>
      <c r="F20" s="82"/>
      <c r="G20" s="82"/>
    </row>
    <row r="21" spans="1:7" ht="13.5" x14ac:dyDescent="0.2">
      <c r="A21" s="82" t="s">
        <v>238</v>
      </c>
      <c r="B21" s="83"/>
      <c r="C21" s="83"/>
      <c r="D21" s="82"/>
      <c r="E21" s="82"/>
      <c r="F21" s="82"/>
      <c r="G21" s="82"/>
    </row>
    <row r="22" spans="1:7" ht="12" thickBot="1" x14ac:dyDescent="0.25"/>
    <row r="23" spans="1:7" ht="147.6" customHeight="1" thickBot="1" x14ac:dyDescent="0.25">
      <c r="A23" s="23" t="s">
        <v>182</v>
      </c>
      <c r="B23" s="24" t="s">
        <v>183</v>
      </c>
      <c r="C23" s="25" t="s">
        <v>184</v>
      </c>
      <c r="D23" s="26" t="s">
        <v>185</v>
      </c>
      <c r="E23" s="40" t="s">
        <v>257</v>
      </c>
      <c r="F23" s="39" t="s">
        <v>186</v>
      </c>
      <c r="G23" s="34" t="s">
        <v>187</v>
      </c>
    </row>
    <row r="24" spans="1:7" ht="23.25" customHeight="1" x14ac:dyDescent="0.2">
      <c r="A24" s="16" t="s">
        <v>205</v>
      </c>
      <c r="B24" s="44" t="s">
        <v>2</v>
      </c>
      <c r="C24" s="16" t="s">
        <v>2</v>
      </c>
      <c r="D24" s="13">
        <v>8</v>
      </c>
      <c r="E24" s="87">
        <f>10/1000</f>
        <v>0.01</v>
      </c>
      <c r="F24" s="37">
        <f>9.069/1000</f>
        <v>9.0690000000000007E-3</v>
      </c>
      <c r="G24" s="41">
        <f t="shared" ref="G24:G55" si="0">E24-F24</f>
        <v>9.3099999999999954E-4</v>
      </c>
    </row>
    <row r="25" spans="1:7" ht="55.9" customHeight="1" x14ac:dyDescent="0.2">
      <c r="A25" s="16" t="s">
        <v>205</v>
      </c>
      <c r="B25" s="45" t="s">
        <v>3</v>
      </c>
      <c r="C25" s="46" t="s">
        <v>190</v>
      </c>
      <c r="D25" s="13">
        <v>3</v>
      </c>
      <c r="E25" s="37">
        <f>1.067/1000</f>
        <v>1.067E-3</v>
      </c>
      <c r="F25" s="37">
        <f>1.067/1000</f>
        <v>1.067E-3</v>
      </c>
      <c r="G25" s="38">
        <f t="shared" si="0"/>
        <v>0</v>
      </c>
    </row>
    <row r="26" spans="1:7" ht="67.150000000000006" customHeight="1" x14ac:dyDescent="0.2">
      <c r="A26" s="16" t="s">
        <v>205</v>
      </c>
      <c r="B26" s="45" t="s">
        <v>4</v>
      </c>
      <c r="C26" s="46" t="s">
        <v>190</v>
      </c>
      <c r="D26" s="13">
        <v>3</v>
      </c>
      <c r="E26" s="37">
        <f>3.855/1000</f>
        <v>3.8549999999999999E-3</v>
      </c>
      <c r="F26" s="37">
        <f>3.855/1000</f>
        <v>3.8549999999999999E-3</v>
      </c>
      <c r="G26" s="38">
        <f t="shared" si="0"/>
        <v>0</v>
      </c>
    </row>
    <row r="27" spans="1:7" ht="68.45" customHeight="1" x14ac:dyDescent="0.2">
      <c r="A27" s="16" t="s">
        <v>205</v>
      </c>
      <c r="B27" s="45" t="s">
        <v>5</v>
      </c>
      <c r="C27" s="46" t="s">
        <v>190</v>
      </c>
      <c r="D27" s="13">
        <v>3</v>
      </c>
      <c r="E27" s="37">
        <f>0.884/1000</f>
        <v>8.8400000000000002E-4</v>
      </c>
      <c r="F27" s="37">
        <f>0.884/1000</f>
        <v>8.8400000000000002E-4</v>
      </c>
      <c r="G27" s="38">
        <f t="shared" si="0"/>
        <v>0</v>
      </c>
    </row>
    <row r="28" spans="1:7" ht="30" x14ac:dyDescent="0.2">
      <c r="A28" s="16" t="s">
        <v>205</v>
      </c>
      <c r="B28" s="47" t="s">
        <v>6</v>
      </c>
      <c r="C28" s="8" t="s">
        <v>206</v>
      </c>
      <c r="D28" s="17">
        <v>5</v>
      </c>
      <c r="E28" s="37">
        <f>25/1000</f>
        <v>2.5000000000000001E-2</v>
      </c>
      <c r="F28" s="37">
        <f>19.333/1000</f>
        <v>1.9332999999999999E-2</v>
      </c>
      <c r="G28" s="38">
        <f t="shared" si="0"/>
        <v>5.6670000000000019E-3</v>
      </c>
    </row>
    <row r="29" spans="1:7" ht="30" x14ac:dyDescent="0.2">
      <c r="A29" s="16" t="s">
        <v>205</v>
      </c>
      <c r="B29" s="47" t="s">
        <v>7</v>
      </c>
      <c r="C29" s="8" t="s">
        <v>206</v>
      </c>
      <c r="D29" s="17">
        <v>5</v>
      </c>
      <c r="E29" s="37">
        <f>20/1000</f>
        <v>0.02</v>
      </c>
      <c r="F29" s="37">
        <f>9.543/1000</f>
        <v>9.5429999999999994E-3</v>
      </c>
      <c r="G29" s="38">
        <f t="shared" si="0"/>
        <v>1.0457000000000001E-2</v>
      </c>
    </row>
    <row r="30" spans="1:7" ht="30" x14ac:dyDescent="0.2">
      <c r="A30" s="16" t="s">
        <v>205</v>
      </c>
      <c r="B30" s="47" t="s">
        <v>8</v>
      </c>
      <c r="C30" s="8" t="s">
        <v>206</v>
      </c>
      <c r="D30" s="17">
        <v>5</v>
      </c>
      <c r="E30" s="37">
        <f>26/1000</f>
        <v>2.5999999999999999E-2</v>
      </c>
      <c r="F30" s="37">
        <f>21.687/1000</f>
        <v>2.1687000000000001E-2</v>
      </c>
      <c r="G30" s="38">
        <f t="shared" si="0"/>
        <v>4.3129999999999974E-3</v>
      </c>
    </row>
    <row r="31" spans="1:7" ht="30" x14ac:dyDescent="0.2">
      <c r="A31" s="16" t="s">
        <v>205</v>
      </c>
      <c r="B31" s="47" t="s">
        <v>9</v>
      </c>
      <c r="C31" s="8" t="s">
        <v>206</v>
      </c>
      <c r="D31" s="17">
        <v>4</v>
      </c>
      <c r="E31" s="37">
        <f>350/1000</f>
        <v>0.35</v>
      </c>
      <c r="F31" s="37">
        <f>271.807/1000</f>
        <v>0.27180700000000002</v>
      </c>
      <c r="G31" s="38">
        <f t="shared" si="0"/>
        <v>7.8192999999999957E-2</v>
      </c>
    </row>
    <row r="32" spans="1:7" ht="45" x14ac:dyDescent="0.2">
      <c r="A32" s="8" t="s">
        <v>224</v>
      </c>
      <c r="B32" s="45" t="s">
        <v>10</v>
      </c>
      <c r="C32" s="8" t="s">
        <v>225</v>
      </c>
      <c r="D32" s="6">
        <v>4</v>
      </c>
      <c r="E32" s="37">
        <f>130/1000</f>
        <v>0.13</v>
      </c>
      <c r="F32" s="37">
        <f>89.723/1000</f>
        <v>8.9722999999999997E-2</v>
      </c>
      <c r="G32" s="38">
        <f t="shared" si="0"/>
        <v>4.0277000000000007E-2</v>
      </c>
    </row>
    <row r="33" spans="1:7" ht="75" x14ac:dyDescent="0.2">
      <c r="A33" s="8" t="s">
        <v>224</v>
      </c>
      <c r="B33" s="45" t="s">
        <v>11</v>
      </c>
      <c r="C33" s="8" t="s">
        <v>190</v>
      </c>
      <c r="D33" s="13">
        <v>4</v>
      </c>
      <c r="E33" s="37">
        <f>0.258/1000</f>
        <v>2.5799999999999998E-4</v>
      </c>
      <c r="F33" s="37">
        <f>0.258/1000</f>
        <v>2.5799999999999998E-4</v>
      </c>
      <c r="G33" s="38">
        <f t="shared" si="0"/>
        <v>0</v>
      </c>
    </row>
    <row r="34" spans="1:7" ht="60" x14ac:dyDescent="0.2">
      <c r="A34" s="8" t="s">
        <v>224</v>
      </c>
      <c r="B34" s="45" t="s">
        <v>12</v>
      </c>
      <c r="C34" s="8" t="s">
        <v>190</v>
      </c>
      <c r="D34" s="13">
        <v>4</v>
      </c>
      <c r="E34" s="37">
        <f>1.47/1000</f>
        <v>1.47E-3</v>
      </c>
      <c r="F34" s="37">
        <f>1.47/1000</f>
        <v>1.47E-3</v>
      </c>
      <c r="G34" s="38">
        <f t="shared" si="0"/>
        <v>0</v>
      </c>
    </row>
    <row r="35" spans="1:7" ht="45" x14ac:dyDescent="0.2">
      <c r="A35" s="8" t="s">
        <v>207</v>
      </c>
      <c r="B35" s="45" t="s">
        <v>17</v>
      </c>
      <c r="C35" s="8" t="s">
        <v>208</v>
      </c>
      <c r="D35" s="6">
        <v>4</v>
      </c>
      <c r="E35" s="37">
        <f>217.25/1000</f>
        <v>0.21725</v>
      </c>
      <c r="F35" s="37">
        <f>177.881/1000</f>
        <v>0.17788100000000001</v>
      </c>
      <c r="G35" s="38">
        <f t="shared" si="0"/>
        <v>3.9368999999999987E-2</v>
      </c>
    </row>
    <row r="36" spans="1:7" ht="45" x14ac:dyDescent="0.2">
      <c r="A36" s="18" t="s">
        <v>207</v>
      </c>
      <c r="B36" s="45" t="s">
        <v>18</v>
      </c>
      <c r="C36" s="8" t="s">
        <v>208</v>
      </c>
      <c r="D36" s="6">
        <v>4</v>
      </c>
      <c r="E36" s="37">
        <f>425.79/1000</f>
        <v>0.42579</v>
      </c>
      <c r="F36" s="37">
        <f>311.726/1000</f>
        <v>0.311726</v>
      </c>
      <c r="G36" s="38">
        <f t="shared" si="0"/>
        <v>0.114064</v>
      </c>
    </row>
    <row r="37" spans="1:7" ht="75" x14ac:dyDescent="0.2">
      <c r="A37" s="8" t="s">
        <v>207</v>
      </c>
      <c r="B37" s="45" t="s">
        <v>209</v>
      </c>
      <c r="C37" s="8" t="s">
        <v>190</v>
      </c>
      <c r="D37" s="13">
        <v>3</v>
      </c>
      <c r="E37" s="37">
        <f>0.258/1000</f>
        <v>2.5799999999999998E-4</v>
      </c>
      <c r="F37" s="37">
        <f>0.258/1000</f>
        <v>2.5799999999999998E-4</v>
      </c>
      <c r="G37" s="38">
        <f t="shared" si="0"/>
        <v>0</v>
      </c>
    </row>
    <row r="38" spans="1:7" ht="60" x14ac:dyDescent="0.2">
      <c r="A38" s="8" t="s">
        <v>207</v>
      </c>
      <c r="B38" s="45" t="s">
        <v>19</v>
      </c>
      <c r="C38" s="8" t="s">
        <v>190</v>
      </c>
      <c r="D38" s="13">
        <v>3</v>
      </c>
      <c r="E38" s="37">
        <f>1.662/1000</f>
        <v>1.6619999999999998E-3</v>
      </c>
      <c r="F38" s="37">
        <f>1.662/1000</f>
        <v>1.6619999999999998E-3</v>
      </c>
      <c r="G38" s="38">
        <f t="shared" si="0"/>
        <v>0</v>
      </c>
    </row>
    <row r="39" spans="1:7" ht="60" x14ac:dyDescent="0.2">
      <c r="A39" s="3" t="s">
        <v>22</v>
      </c>
      <c r="B39" s="48" t="s">
        <v>23</v>
      </c>
      <c r="C39" s="49" t="s">
        <v>190</v>
      </c>
      <c r="D39" s="27">
        <v>3</v>
      </c>
      <c r="E39" s="37">
        <f>0.993/1000</f>
        <v>9.9299999999999996E-4</v>
      </c>
      <c r="F39" s="37">
        <f>0.993/1000</f>
        <v>9.9299999999999996E-4</v>
      </c>
      <c r="G39" s="38">
        <f t="shared" si="0"/>
        <v>0</v>
      </c>
    </row>
    <row r="40" spans="1:7" ht="45" x14ac:dyDescent="0.2">
      <c r="A40" s="3" t="s">
        <v>22</v>
      </c>
      <c r="B40" s="50" t="s">
        <v>24</v>
      </c>
      <c r="C40" s="51" t="s">
        <v>190</v>
      </c>
      <c r="D40" s="9">
        <v>3</v>
      </c>
      <c r="E40" s="37">
        <f>1.452/1000</f>
        <v>1.4519999999999999E-3</v>
      </c>
      <c r="F40" s="37">
        <f>1.452/1000</f>
        <v>1.4519999999999999E-3</v>
      </c>
      <c r="G40" s="38">
        <f t="shared" si="0"/>
        <v>0</v>
      </c>
    </row>
    <row r="41" spans="1:7" ht="30" x14ac:dyDescent="0.25">
      <c r="A41" s="3" t="s">
        <v>22</v>
      </c>
      <c r="B41" s="52" t="s">
        <v>25</v>
      </c>
      <c r="C41" s="53" t="s">
        <v>20</v>
      </c>
      <c r="D41" s="6">
        <v>3</v>
      </c>
      <c r="E41" s="37">
        <f>996.78/1000</f>
        <v>0.99678</v>
      </c>
      <c r="F41" s="37">
        <f>773.368/1000</f>
        <v>0.77336800000000006</v>
      </c>
      <c r="G41" s="38">
        <f t="shared" si="0"/>
        <v>0.22341199999999994</v>
      </c>
    </row>
    <row r="42" spans="1:7" ht="30" x14ac:dyDescent="0.25">
      <c r="A42" s="3" t="s">
        <v>22</v>
      </c>
      <c r="B42" s="52" t="s">
        <v>26</v>
      </c>
      <c r="C42" s="53" t="s">
        <v>188</v>
      </c>
      <c r="D42" s="6">
        <v>4</v>
      </c>
      <c r="E42" s="37">
        <f>226.967/1000</f>
        <v>0.226967</v>
      </c>
      <c r="F42" s="37">
        <f>180.2/1000</f>
        <v>0.1802</v>
      </c>
      <c r="G42" s="38">
        <f t="shared" si="0"/>
        <v>4.6767000000000003E-2</v>
      </c>
    </row>
    <row r="43" spans="1:7" ht="30" x14ac:dyDescent="0.2">
      <c r="A43" s="5" t="s">
        <v>22</v>
      </c>
      <c r="B43" s="54" t="s">
        <v>27</v>
      </c>
      <c r="C43" s="54" t="s">
        <v>188</v>
      </c>
      <c r="D43" s="4">
        <v>5</v>
      </c>
      <c r="E43" s="37">
        <f>31.72/1000</f>
        <v>3.1719999999999998E-2</v>
      </c>
      <c r="F43" s="37">
        <f>19.347/1000</f>
        <v>1.9347E-2</v>
      </c>
      <c r="G43" s="38">
        <f t="shared" si="0"/>
        <v>1.2372999999999999E-2</v>
      </c>
    </row>
    <row r="44" spans="1:7" ht="30" x14ac:dyDescent="0.25">
      <c r="A44" s="3" t="s">
        <v>22</v>
      </c>
      <c r="B44" s="52" t="s">
        <v>28</v>
      </c>
      <c r="C44" s="53" t="s">
        <v>189</v>
      </c>
      <c r="D44" s="6">
        <v>5</v>
      </c>
      <c r="E44" s="37">
        <f>18.2/1000</f>
        <v>1.8200000000000001E-2</v>
      </c>
      <c r="F44" s="37">
        <f>17.986/1000</f>
        <v>1.7986000000000002E-2</v>
      </c>
      <c r="G44" s="38">
        <f t="shared" si="0"/>
        <v>2.1399999999999891E-4</v>
      </c>
    </row>
    <row r="45" spans="1:7" ht="90" x14ac:dyDescent="0.2">
      <c r="A45" s="3" t="s">
        <v>22</v>
      </c>
      <c r="B45" s="50" t="s">
        <v>30</v>
      </c>
      <c r="C45" s="55" t="s">
        <v>29</v>
      </c>
      <c r="D45" s="7">
        <v>3</v>
      </c>
      <c r="E45" s="37">
        <f>26.374/1000</f>
        <v>2.6373999999999998E-2</v>
      </c>
      <c r="F45" s="37">
        <f>15.581/1000</f>
        <v>1.5580999999999999E-2</v>
      </c>
      <c r="G45" s="38">
        <f t="shared" si="0"/>
        <v>1.0792999999999999E-2</v>
      </c>
    </row>
    <row r="46" spans="1:7" ht="90" x14ac:dyDescent="0.25">
      <c r="A46" s="3" t="s">
        <v>22</v>
      </c>
      <c r="B46" s="56" t="s">
        <v>31</v>
      </c>
      <c r="C46" s="8" t="s">
        <v>247</v>
      </c>
      <c r="D46" s="20">
        <v>3</v>
      </c>
      <c r="E46" s="37">
        <f>3.7/1000</f>
        <v>3.7000000000000002E-3</v>
      </c>
      <c r="F46" s="37">
        <f>5.256/1000</f>
        <v>5.2560000000000003E-3</v>
      </c>
      <c r="G46" s="38">
        <f t="shared" si="0"/>
        <v>-1.5560000000000001E-3</v>
      </c>
    </row>
    <row r="47" spans="1:7" ht="45" x14ac:dyDescent="0.2">
      <c r="A47" s="12" t="s">
        <v>33</v>
      </c>
      <c r="B47" s="57" t="s">
        <v>34</v>
      </c>
      <c r="C47" s="58" t="s">
        <v>256</v>
      </c>
      <c r="D47" s="28">
        <v>5</v>
      </c>
      <c r="E47" s="37">
        <f>2/1000</f>
        <v>2E-3</v>
      </c>
      <c r="F47" s="37">
        <f>1.95/1000</f>
        <v>1.9499999999999999E-3</v>
      </c>
      <c r="G47" s="38">
        <f t="shared" si="0"/>
        <v>5.0000000000000131E-5</v>
      </c>
    </row>
    <row r="48" spans="1:7" ht="60" x14ac:dyDescent="0.2">
      <c r="A48" s="11" t="s">
        <v>33</v>
      </c>
      <c r="B48" s="59" t="s">
        <v>36</v>
      </c>
      <c r="C48" s="60" t="s">
        <v>35</v>
      </c>
      <c r="D48" s="20">
        <v>6</v>
      </c>
      <c r="E48" s="37">
        <f>2/1000</f>
        <v>2E-3</v>
      </c>
      <c r="F48" s="37">
        <f>2/1000</f>
        <v>2E-3</v>
      </c>
      <c r="G48" s="38">
        <f t="shared" si="0"/>
        <v>0</v>
      </c>
    </row>
    <row r="49" spans="1:7" ht="45" x14ac:dyDescent="0.2">
      <c r="A49" s="11" t="s">
        <v>33</v>
      </c>
      <c r="B49" s="59" t="s">
        <v>240</v>
      </c>
      <c r="C49" s="61" t="s">
        <v>241</v>
      </c>
      <c r="D49" s="6">
        <v>5</v>
      </c>
      <c r="E49" s="37">
        <f>40/1000</f>
        <v>0.04</v>
      </c>
      <c r="F49" s="37">
        <f>7.791/1000</f>
        <v>7.7910000000000002E-3</v>
      </c>
      <c r="G49" s="38">
        <f t="shared" si="0"/>
        <v>3.2209000000000002E-2</v>
      </c>
    </row>
    <row r="50" spans="1:7" ht="41.25" customHeight="1" x14ac:dyDescent="0.2">
      <c r="A50" s="11" t="s">
        <v>33</v>
      </c>
      <c r="B50" s="59" t="s">
        <v>242</v>
      </c>
      <c r="C50" s="61" t="s">
        <v>241</v>
      </c>
      <c r="D50" s="6">
        <v>6</v>
      </c>
      <c r="E50" s="37">
        <f>3.6/1000</f>
        <v>3.5999999999999999E-3</v>
      </c>
      <c r="F50" s="37">
        <f>2.564/1000</f>
        <v>2.5639999999999999E-3</v>
      </c>
      <c r="G50" s="38">
        <f t="shared" si="0"/>
        <v>1.036E-3</v>
      </c>
    </row>
    <row r="51" spans="1:7" ht="41.25" customHeight="1" x14ac:dyDescent="0.2">
      <c r="A51" s="11" t="s">
        <v>33</v>
      </c>
      <c r="B51" s="59" t="s">
        <v>243</v>
      </c>
      <c r="C51" s="62" t="s">
        <v>244</v>
      </c>
      <c r="D51" s="35">
        <v>6</v>
      </c>
      <c r="E51" s="37">
        <f>2/1000</f>
        <v>2E-3</v>
      </c>
      <c r="F51" s="37">
        <f>2.6/1000</f>
        <v>2.5999999999999999E-3</v>
      </c>
      <c r="G51" s="38">
        <f t="shared" si="0"/>
        <v>-5.9999999999999984E-4</v>
      </c>
    </row>
    <row r="52" spans="1:7" ht="45" x14ac:dyDescent="0.2">
      <c r="A52" s="11" t="s">
        <v>33</v>
      </c>
      <c r="B52" s="63" t="s">
        <v>193</v>
      </c>
      <c r="C52" s="3" t="s">
        <v>37</v>
      </c>
      <c r="D52" s="4">
        <v>6</v>
      </c>
      <c r="E52" s="37">
        <f>70/1000</f>
        <v>7.0000000000000007E-2</v>
      </c>
      <c r="F52" s="37">
        <f>47.258/1000</f>
        <v>4.7258000000000001E-2</v>
      </c>
      <c r="G52" s="38">
        <f t="shared" si="0"/>
        <v>2.2742000000000005E-2</v>
      </c>
    </row>
    <row r="53" spans="1:7" ht="60" x14ac:dyDescent="0.2">
      <c r="A53" s="11" t="s">
        <v>33</v>
      </c>
      <c r="B53" s="59" t="s">
        <v>38</v>
      </c>
      <c r="C53" s="58" t="s">
        <v>256</v>
      </c>
      <c r="D53" s="20">
        <v>5</v>
      </c>
      <c r="E53" s="37">
        <f>12/1000</f>
        <v>1.2E-2</v>
      </c>
      <c r="F53" s="37">
        <f>0/1000</f>
        <v>0</v>
      </c>
      <c r="G53" s="38">
        <f t="shared" si="0"/>
        <v>1.2E-2</v>
      </c>
    </row>
    <row r="54" spans="1:7" ht="60" x14ac:dyDescent="0.2">
      <c r="A54" s="11" t="s">
        <v>33</v>
      </c>
      <c r="B54" s="59" t="s">
        <v>40</v>
      </c>
      <c r="C54" s="60" t="s">
        <v>39</v>
      </c>
      <c r="D54" s="20">
        <v>5</v>
      </c>
      <c r="E54" s="37">
        <f>1.3/1000</f>
        <v>1.2999999999999999E-3</v>
      </c>
      <c r="F54" s="37">
        <f>0.719/1000</f>
        <v>7.1900000000000002E-4</v>
      </c>
      <c r="G54" s="38">
        <f t="shared" si="0"/>
        <v>5.8099999999999992E-4</v>
      </c>
    </row>
    <row r="55" spans="1:7" ht="30" x14ac:dyDescent="0.2">
      <c r="A55" s="8" t="s">
        <v>41</v>
      </c>
      <c r="B55" s="45" t="s">
        <v>2</v>
      </c>
      <c r="C55" s="8" t="s">
        <v>2</v>
      </c>
      <c r="D55" s="13">
        <v>8</v>
      </c>
      <c r="E55" s="37">
        <f>10/1000</f>
        <v>0.01</v>
      </c>
      <c r="F55" s="37">
        <f>4.197/1000</f>
        <v>4.1970000000000002E-3</v>
      </c>
      <c r="G55" s="38">
        <f t="shared" si="0"/>
        <v>5.803E-3</v>
      </c>
    </row>
    <row r="56" spans="1:7" ht="75" x14ac:dyDescent="0.2">
      <c r="A56" s="8" t="s">
        <v>41</v>
      </c>
      <c r="B56" s="52" t="s">
        <v>42</v>
      </c>
      <c r="C56" s="46" t="s">
        <v>190</v>
      </c>
      <c r="D56" s="13">
        <v>3</v>
      </c>
      <c r="E56" s="37">
        <f>1.582/1000</f>
        <v>1.5820000000000001E-3</v>
      </c>
      <c r="F56" s="37">
        <f>1.582/1000</f>
        <v>1.5820000000000001E-3</v>
      </c>
      <c r="G56" s="38">
        <f t="shared" ref="G56:G87" si="1">E56-F56</f>
        <v>0</v>
      </c>
    </row>
    <row r="57" spans="1:7" ht="60" x14ac:dyDescent="0.2">
      <c r="A57" s="8" t="s">
        <v>41</v>
      </c>
      <c r="B57" s="45" t="s">
        <v>43</v>
      </c>
      <c r="C57" s="46" t="s">
        <v>190</v>
      </c>
      <c r="D57" s="13">
        <v>3</v>
      </c>
      <c r="E57" s="37">
        <f>3.02/1000</f>
        <v>3.0200000000000001E-3</v>
      </c>
      <c r="F57" s="37">
        <f>3.02/1000</f>
        <v>3.0200000000000001E-3</v>
      </c>
      <c r="G57" s="38">
        <f t="shared" si="1"/>
        <v>0</v>
      </c>
    </row>
    <row r="58" spans="1:7" ht="45" x14ac:dyDescent="0.2">
      <c r="A58" s="8" t="s">
        <v>41</v>
      </c>
      <c r="B58" s="45" t="s">
        <v>44</v>
      </c>
      <c r="C58" s="8" t="s">
        <v>208</v>
      </c>
      <c r="D58" s="7">
        <v>5</v>
      </c>
      <c r="E58" s="37">
        <f>70/1000</f>
        <v>7.0000000000000007E-2</v>
      </c>
      <c r="F58" s="37">
        <f>56.188/1000</f>
        <v>5.6188000000000002E-2</v>
      </c>
      <c r="G58" s="38">
        <f t="shared" si="1"/>
        <v>1.3812000000000005E-2</v>
      </c>
    </row>
    <row r="59" spans="1:7" ht="15" x14ac:dyDescent="0.2">
      <c r="A59" s="8" t="s">
        <v>211</v>
      </c>
      <c r="B59" s="64" t="s">
        <v>2</v>
      </c>
      <c r="C59" s="46" t="s">
        <v>2</v>
      </c>
      <c r="D59" s="22">
        <v>8</v>
      </c>
      <c r="E59" s="37">
        <f>5/1000</f>
        <v>5.0000000000000001E-3</v>
      </c>
      <c r="F59" s="37">
        <f>2.176/1000</f>
        <v>2.176E-3</v>
      </c>
      <c r="G59" s="38">
        <f t="shared" si="1"/>
        <v>2.8240000000000001E-3</v>
      </c>
    </row>
    <row r="60" spans="1:7" ht="45" x14ac:dyDescent="0.2">
      <c r="A60" s="8" t="s">
        <v>211</v>
      </c>
      <c r="B60" s="45" t="s">
        <v>253</v>
      </c>
      <c r="C60" s="8" t="s">
        <v>250</v>
      </c>
      <c r="D60" s="13">
        <v>5</v>
      </c>
      <c r="E60" s="37">
        <f>0/1000</f>
        <v>0</v>
      </c>
      <c r="F60" s="37">
        <f>8.634/1000</f>
        <v>8.634000000000001E-3</v>
      </c>
      <c r="G60" s="38">
        <f>E60-F60</f>
        <v>-8.634000000000001E-3</v>
      </c>
    </row>
    <row r="61" spans="1:7" ht="15" x14ac:dyDescent="0.2">
      <c r="A61" s="8" t="s">
        <v>212</v>
      </c>
      <c r="B61" s="45" t="s">
        <v>2</v>
      </c>
      <c r="C61" s="8" t="s">
        <v>2</v>
      </c>
      <c r="D61" s="22">
        <v>8</v>
      </c>
      <c r="E61" s="37">
        <f>10/1000</f>
        <v>0.01</v>
      </c>
      <c r="F61" s="37">
        <f>9.584/1000</f>
        <v>9.5839999999999988E-3</v>
      </c>
      <c r="G61" s="38">
        <f>E61-F61</f>
        <v>4.1600000000000144E-4</v>
      </c>
    </row>
    <row r="62" spans="1:7" ht="45" x14ac:dyDescent="0.2">
      <c r="A62" s="8" t="s">
        <v>212</v>
      </c>
      <c r="B62" s="45" t="s">
        <v>249</v>
      </c>
      <c r="C62" s="8" t="s">
        <v>250</v>
      </c>
      <c r="D62" s="13">
        <v>4</v>
      </c>
      <c r="E62" s="37">
        <f>0/1000</f>
        <v>0</v>
      </c>
      <c r="F62" s="37">
        <f>58.03/1000</f>
        <v>5.8029999999999998E-2</v>
      </c>
      <c r="G62" s="38">
        <f>E62-F62</f>
        <v>-5.8029999999999998E-2</v>
      </c>
    </row>
    <row r="63" spans="1:7" ht="45" x14ac:dyDescent="0.2">
      <c r="A63" s="8" t="s">
        <v>212</v>
      </c>
      <c r="B63" s="45" t="s">
        <v>251</v>
      </c>
      <c r="C63" s="8" t="s">
        <v>250</v>
      </c>
      <c r="D63" s="13">
        <v>7</v>
      </c>
      <c r="E63" s="37">
        <f>0.916/1000</f>
        <v>9.1600000000000004E-4</v>
      </c>
      <c r="F63" s="37">
        <f>0.916/1000</f>
        <v>9.1600000000000004E-4</v>
      </c>
      <c r="G63" s="38">
        <f t="shared" si="1"/>
        <v>0</v>
      </c>
    </row>
    <row r="64" spans="1:7" ht="75" x14ac:dyDescent="0.2">
      <c r="A64" s="3" t="s">
        <v>203</v>
      </c>
      <c r="B64" s="45" t="s">
        <v>45</v>
      </c>
      <c r="C64" s="8" t="s">
        <v>190</v>
      </c>
      <c r="D64" s="13">
        <v>3</v>
      </c>
      <c r="E64" s="37">
        <f>0.313/1000</f>
        <v>3.1300000000000002E-4</v>
      </c>
      <c r="F64" s="37">
        <f>0.313/1000</f>
        <v>3.1300000000000002E-4</v>
      </c>
      <c r="G64" s="38">
        <f t="shared" si="1"/>
        <v>0</v>
      </c>
    </row>
    <row r="65" spans="1:7" ht="60" x14ac:dyDescent="0.2">
      <c r="A65" s="3" t="s">
        <v>203</v>
      </c>
      <c r="B65" s="45" t="s">
        <v>46</v>
      </c>
      <c r="C65" s="8" t="s">
        <v>190</v>
      </c>
      <c r="D65" s="13">
        <v>3</v>
      </c>
      <c r="E65" s="37">
        <f>118.75/1000</f>
        <v>0.11874999999999999</v>
      </c>
      <c r="F65" s="37">
        <f>118.75/1000</f>
        <v>0.11874999999999999</v>
      </c>
      <c r="G65" s="38">
        <f t="shared" si="1"/>
        <v>0</v>
      </c>
    </row>
    <row r="66" spans="1:7" ht="75" x14ac:dyDescent="0.2">
      <c r="A66" s="3" t="s">
        <v>203</v>
      </c>
      <c r="B66" s="45" t="s">
        <v>47</v>
      </c>
      <c r="C66" s="8" t="s">
        <v>190</v>
      </c>
      <c r="D66" s="13">
        <v>3</v>
      </c>
      <c r="E66" s="37">
        <f>4.16/1000</f>
        <v>4.1600000000000005E-3</v>
      </c>
      <c r="F66" s="37">
        <f>4.16/1000</f>
        <v>4.1600000000000005E-3</v>
      </c>
      <c r="G66" s="38">
        <f t="shared" si="1"/>
        <v>0</v>
      </c>
    </row>
    <row r="67" spans="1:7" ht="60" x14ac:dyDescent="0.2">
      <c r="A67" s="3" t="s">
        <v>203</v>
      </c>
      <c r="B67" s="52" t="s">
        <v>49</v>
      </c>
      <c r="C67" s="54" t="s">
        <v>48</v>
      </c>
      <c r="D67" s="6">
        <v>6</v>
      </c>
      <c r="E67" s="37">
        <f>2/1000</f>
        <v>2E-3</v>
      </c>
      <c r="F67" s="37">
        <f>1.1/1000</f>
        <v>1.1000000000000001E-3</v>
      </c>
      <c r="G67" s="38">
        <f t="shared" si="1"/>
        <v>8.9999999999999998E-4</v>
      </c>
    </row>
    <row r="68" spans="1:7" ht="15" x14ac:dyDescent="0.2">
      <c r="A68" s="3" t="s">
        <v>203</v>
      </c>
      <c r="B68" s="44" t="s">
        <v>50</v>
      </c>
      <c r="C68" s="16" t="s">
        <v>0</v>
      </c>
      <c r="D68" s="6">
        <v>4</v>
      </c>
      <c r="E68" s="37">
        <f>380/1000</f>
        <v>0.38</v>
      </c>
      <c r="F68" s="37">
        <f>356.63/1000</f>
        <v>0.35663</v>
      </c>
      <c r="G68" s="38">
        <f t="shared" si="1"/>
        <v>2.3370000000000002E-2</v>
      </c>
    </row>
    <row r="69" spans="1:7" ht="15" x14ac:dyDescent="0.2">
      <c r="A69" s="3" t="s">
        <v>203</v>
      </c>
      <c r="B69" s="45" t="s">
        <v>51</v>
      </c>
      <c r="C69" s="16" t="s">
        <v>0</v>
      </c>
      <c r="D69" s="7">
        <v>4</v>
      </c>
      <c r="E69" s="37">
        <f>600/1000</f>
        <v>0.6</v>
      </c>
      <c r="F69" s="37">
        <f>521.676/1000</f>
        <v>0.52167600000000003</v>
      </c>
      <c r="G69" s="38">
        <f t="shared" si="1"/>
        <v>7.8323999999999949E-2</v>
      </c>
    </row>
    <row r="70" spans="1:7" ht="90" x14ac:dyDescent="0.2">
      <c r="A70" s="3" t="s">
        <v>203</v>
      </c>
      <c r="B70" s="45" t="s">
        <v>52</v>
      </c>
      <c r="C70" s="16" t="s">
        <v>0</v>
      </c>
      <c r="D70" s="20">
        <v>4</v>
      </c>
      <c r="E70" s="37">
        <f>600/1000</f>
        <v>0.6</v>
      </c>
      <c r="F70" s="37">
        <f>546.042/1000</f>
        <v>0.54604200000000003</v>
      </c>
      <c r="G70" s="38">
        <f t="shared" si="1"/>
        <v>5.395799999999995E-2</v>
      </c>
    </row>
    <row r="71" spans="1:7" ht="75" x14ac:dyDescent="0.2">
      <c r="A71" s="3" t="s">
        <v>203</v>
      </c>
      <c r="B71" s="52" t="s">
        <v>54</v>
      </c>
      <c r="C71" s="74" t="s">
        <v>53</v>
      </c>
      <c r="D71" s="6">
        <v>7</v>
      </c>
      <c r="E71" s="37">
        <f>1.46/1000</f>
        <v>1.4599999999999999E-3</v>
      </c>
      <c r="F71" s="37">
        <f>1.46/1000</f>
        <v>1.4599999999999999E-3</v>
      </c>
      <c r="G71" s="38">
        <f t="shared" si="1"/>
        <v>0</v>
      </c>
    </row>
    <row r="72" spans="1:7" ht="30" x14ac:dyDescent="0.2">
      <c r="A72" s="3" t="s">
        <v>203</v>
      </c>
      <c r="B72" s="52" t="s">
        <v>56</v>
      </c>
      <c r="C72" s="74" t="s">
        <v>55</v>
      </c>
      <c r="D72" s="6">
        <v>4</v>
      </c>
      <c r="E72" s="37">
        <f>80/1000</f>
        <v>0.08</v>
      </c>
      <c r="F72" s="37">
        <f>70.247/1000</f>
        <v>7.0247000000000004E-2</v>
      </c>
      <c r="G72" s="38">
        <f t="shared" si="1"/>
        <v>9.7529999999999978E-3</v>
      </c>
    </row>
    <row r="73" spans="1:7" ht="60" x14ac:dyDescent="0.2">
      <c r="A73" s="3" t="s">
        <v>203</v>
      </c>
      <c r="B73" s="47" t="s">
        <v>57</v>
      </c>
      <c r="C73" s="8" t="s">
        <v>247</v>
      </c>
      <c r="D73" s="17">
        <v>6</v>
      </c>
      <c r="E73" s="37">
        <f>2.5/1000</f>
        <v>2.5000000000000001E-3</v>
      </c>
      <c r="F73" s="37">
        <f>2.5/1000</f>
        <v>2.5000000000000001E-3</v>
      </c>
      <c r="G73" s="38">
        <f t="shared" si="1"/>
        <v>0</v>
      </c>
    </row>
    <row r="74" spans="1:7" ht="90" x14ac:dyDescent="0.2">
      <c r="A74" s="3" t="s">
        <v>203</v>
      </c>
      <c r="B74" s="52" t="s">
        <v>204</v>
      </c>
      <c r="C74" s="74" t="s">
        <v>58</v>
      </c>
      <c r="D74" s="6">
        <v>6</v>
      </c>
      <c r="E74" s="37">
        <f>0.95/1000</f>
        <v>9.5E-4</v>
      </c>
      <c r="F74" s="37">
        <f>3.928/1000</f>
        <v>3.9280000000000001E-3</v>
      </c>
      <c r="G74" s="38">
        <f t="shared" si="1"/>
        <v>-2.9780000000000002E-3</v>
      </c>
    </row>
    <row r="75" spans="1:7" ht="120" x14ac:dyDescent="0.2">
      <c r="A75" s="3" t="s">
        <v>203</v>
      </c>
      <c r="B75" s="52" t="s">
        <v>60</v>
      </c>
      <c r="C75" s="74" t="s">
        <v>59</v>
      </c>
      <c r="D75" s="6">
        <v>6</v>
      </c>
      <c r="E75" s="37">
        <f>8/1000</f>
        <v>8.0000000000000002E-3</v>
      </c>
      <c r="F75" s="37">
        <f>10.458/1000</f>
        <v>1.0458E-2</v>
      </c>
      <c r="G75" s="38">
        <f t="shared" si="1"/>
        <v>-2.4580000000000001E-3</v>
      </c>
    </row>
    <row r="76" spans="1:7" ht="60" x14ac:dyDescent="0.2">
      <c r="A76" s="3" t="s">
        <v>203</v>
      </c>
      <c r="B76" s="52" t="s">
        <v>61</v>
      </c>
      <c r="C76" s="74" t="s">
        <v>59</v>
      </c>
      <c r="D76" s="6">
        <v>6</v>
      </c>
      <c r="E76" s="37">
        <f>3/1000</f>
        <v>3.0000000000000001E-3</v>
      </c>
      <c r="F76" s="37">
        <f>0/1000</f>
        <v>0</v>
      </c>
      <c r="G76" s="38">
        <f t="shared" si="1"/>
        <v>3.0000000000000001E-3</v>
      </c>
    </row>
    <row r="77" spans="1:7" ht="105" x14ac:dyDescent="0.2">
      <c r="A77" s="3" t="s">
        <v>203</v>
      </c>
      <c r="B77" s="47" t="s">
        <v>63</v>
      </c>
      <c r="C77" s="76" t="s">
        <v>62</v>
      </c>
      <c r="D77" s="17">
        <v>5</v>
      </c>
      <c r="E77" s="37">
        <f>11.424/1000</f>
        <v>1.1424E-2</v>
      </c>
      <c r="F77" s="37">
        <f>7.347/1000</f>
        <v>7.3470000000000002E-3</v>
      </c>
      <c r="G77" s="38">
        <f t="shared" si="1"/>
        <v>4.0769999999999999E-3</v>
      </c>
    </row>
    <row r="78" spans="1:7" ht="30" x14ac:dyDescent="0.2">
      <c r="A78" s="3" t="s">
        <v>203</v>
      </c>
      <c r="B78" s="52" t="s">
        <v>245</v>
      </c>
      <c r="C78" s="46" t="s">
        <v>190</v>
      </c>
      <c r="D78" s="17">
        <v>8</v>
      </c>
      <c r="E78" s="37">
        <f>5/1000</f>
        <v>5.0000000000000001E-3</v>
      </c>
      <c r="F78" s="37">
        <f>6.642/1000</f>
        <v>6.6420000000000003E-3</v>
      </c>
      <c r="G78" s="38">
        <f t="shared" si="1"/>
        <v>-1.6420000000000002E-3</v>
      </c>
    </row>
    <row r="79" spans="1:7" ht="105" x14ac:dyDescent="0.2">
      <c r="A79" s="3" t="s">
        <v>203</v>
      </c>
      <c r="B79" s="47" t="s">
        <v>246</v>
      </c>
      <c r="C79" s="8" t="s">
        <v>247</v>
      </c>
      <c r="D79" s="17">
        <v>6</v>
      </c>
      <c r="E79" s="37">
        <f>1/1000</f>
        <v>1E-3</v>
      </c>
      <c r="F79" s="37">
        <f>1.225/1000</f>
        <v>1.2250000000000002E-3</v>
      </c>
      <c r="G79" s="38">
        <f t="shared" si="1"/>
        <v>-2.2500000000000016E-4</v>
      </c>
    </row>
    <row r="80" spans="1:7" ht="90" x14ac:dyDescent="0.2">
      <c r="A80" s="3" t="s">
        <v>203</v>
      </c>
      <c r="B80" s="47" t="s">
        <v>248</v>
      </c>
      <c r="C80" s="8" t="s">
        <v>247</v>
      </c>
      <c r="D80" s="77">
        <v>6</v>
      </c>
      <c r="E80" s="37">
        <f>2/1000</f>
        <v>2E-3</v>
      </c>
      <c r="F80" s="37">
        <f>2/1000</f>
        <v>2E-3</v>
      </c>
      <c r="G80" s="38">
        <f t="shared" si="1"/>
        <v>0</v>
      </c>
    </row>
    <row r="81" spans="1:7" ht="63.75" customHeight="1" x14ac:dyDescent="0.2">
      <c r="A81" s="3" t="s">
        <v>203</v>
      </c>
      <c r="B81" s="68" t="s">
        <v>260</v>
      </c>
      <c r="C81" s="8" t="s">
        <v>261</v>
      </c>
      <c r="D81" s="78">
        <v>6</v>
      </c>
      <c r="E81" s="37">
        <f>2.1/1000</f>
        <v>2.1000000000000003E-3</v>
      </c>
      <c r="F81" s="37">
        <f>4.1/1000</f>
        <v>4.0999999999999995E-3</v>
      </c>
      <c r="G81" s="38">
        <f t="shared" si="1"/>
        <v>-1.9999999999999992E-3</v>
      </c>
    </row>
    <row r="82" spans="1:7" ht="60" x14ac:dyDescent="0.2">
      <c r="A82" s="19" t="s">
        <v>64</v>
      </c>
      <c r="B82" s="45" t="s">
        <v>65</v>
      </c>
      <c r="C82" s="8" t="s">
        <v>190</v>
      </c>
      <c r="D82" s="13">
        <v>3</v>
      </c>
      <c r="E82" s="37">
        <f>0.884/1000</f>
        <v>8.8400000000000002E-4</v>
      </c>
      <c r="F82" s="37">
        <f>0.884/1000</f>
        <v>8.8400000000000002E-4</v>
      </c>
      <c r="G82" s="38">
        <f t="shared" si="1"/>
        <v>0</v>
      </c>
    </row>
    <row r="83" spans="1:7" ht="102" customHeight="1" x14ac:dyDescent="0.2">
      <c r="A83" s="3" t="s">
        <v>67</v>
      </c>
      <c r="B83" s="65" t="s">
        <v>68</v>
      </c>
      <c r="C83" s="49" t="s">
        <v>191</v>
      </c>
      <c r="D83" s="43">
        <v>4</v>
      </c>
      <c r="E83" s="37">
        <f>186/1000</f>
        <v>0.186</v>
      </c>
      <c r="F83" s="37">
        <f>154.191/1000</f>
        <v>0.15419099999999999</v>
      </c>
      <c r="G83" s="38">
        <f t="shared" si="1"/>
        <v>3.1809000000000004E-2</v>
      </c>
    </row>
    <row r="84" spans="1:7" ht="75" x14ac:dyDescent="0.2">
      <c r="A84" s="3" t="s">
        <v>67</v>
      </c>
      <c r="B84" s="52" t="s">
        <v>69</v>
      </c>
      <c r="C84" s="49" t="s">
        <v>192</v>
      </c>
      <c r="D84" s="10">
        <v>3</v>
      </c>
      <c r="E84" s="37">
        <f>0.039/1000</f>
        <v>3.8999999999999999E-5</v>
      </c>
      <c r="F84" s="37">
        <f>0.039/1000</f>
        <v>3.8999999999999999E-5</v>
      </c>
      <c r="G84" s="38">
        <f t="shared" si="1"/>
        <v>0</v>
      </c>
    </row>
    <row r="85" spans="1:7" ht="60" x14ac:dyDescent="0.25">
      <c r="A85" s="3" t="s">
        <v>67</v>
      </c>
      <c r="B85" s="56" t="s">
        <v>70</v>
      </c>
      <c r="C85" s="49" t="s">
        <v>192</v>
      </c>
      <c r="D85" s="10">
        <v>3</v>
      </c>
      <c r="E85" s="37">
        <f>0.079/1000</f>
        <v>7.8999999999999996E-5</v>
      </c>
      <c r="F85" s="37">
        <f>0.079/1000</f>
        <v>7.8999999999999996E-5</v>
      </c>
      <c r="G85" s="38">
        <f t="shared" si="1"/>
        <v>0</v>
      </c>
    </row>
    <row r="86" spans="1:7" ht="45" x14ac:dyDescent="0.2">
      <c r="A86" s="16" t="s">
        <v>71</v>
      </c>
      <c r="B86" s="52" t="s">
        <v>72</v>
      </c>
      <c r="C86" s="66" t="s">
        <v>225</v>
      </c>
      <c r="D86" s="6">
        <v>4</v>
      </c>
      <c r="E86" s="37">
        <f>110/1000</f>
        <v>0.11</v>
      </c>
      <c r="F86" s="37">
        <f>74.032/1000</f>
        <v>7.4032000000000001E-2</v>
      </c>
      <c r="G86" s="38">
        <f t="shared" si="1"/>
        <v>3.5968E-2</v>
      </c>
    </row>
    <row r="87" spans="1:7" ht="45" x14ac:dyDescent="0.2">
      <c r="A87" s="16" t="s">
        <v>71</v>
      </c>
      <c r="B87" s="52" t="s">
        <v>73</v>
      </c>
      <c r="C87" s="66" t="s">
        <v>225</v>
      </c>
      <c r="D87" s="6">
        <v>4</v>
      </c>
      <c r="E87" s="37">
        <f>260/1000</f>
        <v>0.26</v>
      </c>
      <c r="F87" s="37">
        <f>206.267/1000</f>
        <v>0.20626700000000001</v>
      </c>
      <c r="G87" s="38">
        <f t="shared" si="1"/>
        <v>5.3733000000000003E-2</v>
      </c>
    </row>
    <row r="88" spans="1:7" ht="45" x14ac:dyDescent="0.2">
      <c r="A88" s="16" t="s">
        <v>71</v>
      </c>
      <c r="B88" s="52" t="s">
        <v>74</v>
      </c>
      <c r="C88" s="66" t="s">
        <v>225</v>
      </c>
      <c r="D88" s="6">
        <v>4</v>
      </c>
      <c r="E88" s="37">
        <f>110/1000</f>
        <v>0.11</v>
      </c>
      <c r="F88" s="37">
        <f>72.866/1000</f>
        <v>7.2866E-2</v>
      </c>
      <c r="G88" s="38">
        <f t="shared" ref="G88:G119" si="2">E88-F88</f>
        <v>3.7134E-2</v>
      </c>
    </row>
    <row r="89" spans="1:7" ht="45" x14ac:dyDescent="0.25">
      <c r="A89" s="16" t="s">
        <v>71</v>
      </c>
      <c r="B89" s="53" t="s">
        <v>254</v>
      </c>
      <c r="C89" s="54" t="s">
        <v>255</v>
      </c>
      <c r="D89" s="6">
        <v>6</v>
      </c>
      <c r="E89" s="37">
        <f>2/1000</f>
        <v>2E-3</v>
      </c>
      <c r="F89" s="37">
        <f>0.4/1000</f>
        <v>4.0000000000000002E-4</v>
      </c>
      <c r="G89" s="38">
        <f t="shared" si="2"/>
        <v>1.6000000000000001E-3</v>
      </c>
    </row>
    <row r="90" spans="1:7" ht="60" x14ac:dyDescent="0.2">
      <c r="A90" s="16" t="s">
        <v>71</v>
      </c>
      <c r="B90" s="45" t="s">
        <v>75</v>
      </c>
      <c r="C90" s="67" t="s">
        <v>190</v>
      </c>
      <c r="D90" s="13">
        <v>4</v>
      </c>
      <c r="E90" s="37">
        <f>0.625/1000</f>
        <v>6.2500000000000001E-4</v>
      </c>
      <c r="F90" s="37">
        <f>0.625/1000</f>
        <v>6.2500000000000001E-4</v>
      </c>
      <c r="G90" s="38">
        <f t="shared" si="2"/>
        <v>0</v>
      </c>
    </row>
    <row r="91" spans="1:7" ht="45" x14ac:dyDescent="0.2">
      <c r="A91" s="16" t="s">
        <v>71</v>
      </c>
      <c r="B91" s="45" t="s">
        <v>76</v>
      </c>
      <c r="C91" s="67" t="s">
        <v>190</v>
      </c>
      <c r="D91" s="13">
        <v>4</v>
      </c>
      <c r="E91" s="37">
        <f>3.674/1000</f>
        <v>3.6739999999999997E-3</v>
      </c>
      <c r="F91" s="37">
        <f>3.674/1000</f>
        <v>3.6739999999999997E-3</v>
      </c>
      <c r="G91" s="38">
        <f t="shared" si="2"/>
        <v>0</v>
      </c>
    </row>
    <row r="92" spans="1:7" ht="45" x14ac:dyDescent="0.2">
      <c r="A92" s="16" t="s">
        <v>71</v>
      </c>
      <c r="B92" s="52" t="s">
        <v>226</v>
      </c>
      <c r="C92" s="54" t="s">
        <v>77</v>
      </c>
      <c r="D92" s="6">
        <v>5</v>
      </c>
      <c r="E92" s="37">
        <f>0/1000</f>
        <v>0</v>
      </c>
      <c r="F92" s="37">
        <f>0/1000</f>
        <v>0</v>
      </c>
      <c r="G92" s="38">
        <f t="shared" si="2"/>
        <v>0</v>
      </c>
    </row>
    <row r="93" spans="1:7" ht="60" x14ac:dyDescent="0.2">
      <c r="A93" s="16" t="s">
        <v>71</v>
      </c>
      <c r="B93" s="68" t="s">
        <v>78</v>
      </c>
      <c r="C93" s="54" t="s">
        <v>77</v>
      </c>
      <c r="D93" s="6">
        <v>5</v>
      </c>
      <c r="E93" s="37">
        <f>25/1000</f>
        <v>2.5000000000000001E-2</v>
      </c>
      <c r="F93" s="37">
        <f>0/1000</f>
        <v>0</v>
      </c>
      <c r="G93" s="38">
        <f t="shared" si="2"/>
        <v>2.5000000000000001E-2</v>
      </c>
    </row>
    <row r="94" spans="1:7" ht="15" x14ac:dyDescent="0.2">
      <c r="A94" s="16" t="s">
        <v>71</v>
      </c>
      <c r="B94" s="45" t="s">
        <v>80</v>
      </c>
      <c r="C94" s="49" t="s">
        <v>79</v>
      </c>
      <c r="D94" s="6">
        <v>5</v>
      </c>
      <c r="E94" s="37">
        <f>30.046/1000</f>
        <v>3.0046E-2</v>
      </c>
      <c r="F94" s="37">
        <f>20.349/1000</f>
        <v>2.0348999999999999E-2</v>
      </c>
      <c r="G94" s="38">
        <f t="shared" si="2"/>
        <v>9.6970000000000008E-3</v>
      </c>
    </row>
    <row r="95" spans="1:7" ht="30" x14ac:dyDescent="0.2">
      <c r="A95" s="16" t="s">
        <v>71</v>
      </c>
      <c r="B95" s="45" t="s">
        <v>81</v>
      </c>
      <c r="C95" s="8" t="s">
        <v>247</v>
      </c>
      <c r="D95" s="6">
        <v>5</v>
      </c>
      <c r="E95" s="37">
        <f>12.5/1000</f>
        <v>1.2500000000000001E-2</v>
      </c>
      <c r="F95" s="37">
        <f>10/1000</f>
        <v>0.01</v>
      </c>
      <c r="G95" s="38">
        <f t="shared" si="2"/>
        <v>2.5000000000000005E-3</v>
      </c>
    </row>
    <row r="96" spans="1:7" ht="45" x14ac:dyDescent="0.2">
      <c r="A96" s="16" t="s">
        <v>71</v>
      </c>
      <c r="B96" s="52" t="s">
        <v>83</v>
      </c>
      <c r="C96" s="54" t="s">
        <v>82</v>
      </c>
      <c r="D96" s="6">
        <v>4</v>
      </c>
      <c r="E96" s="37">
        <f>444.85/1000</f>
        <v>0.44485000000000002</v>
      </c>
      <c r="F96" s="37">
        <f>464.898/1000</f>
        <v>0.46489800000000003</v>
      </c>
      <c r="G96" s="38">
        <f t="shared" si="2"/>
        <v>-2.004800000000001E-2</v>
      </c>
    </row>
    <row r="97" spans="1:7" ht="15" x14ac:dyDescent="0.2">
      <c r="A97" s="16" t="s">
        <v>71</v>
      </c>
      <c r="B97" s="45" t="s">
        <v>85</v>
      </c>
      <c r="C97" s="49" t="s">
        <v>84</v>
      </c>
      <c r="D97" s="6">
        <v>5</v>
      </c>
      <c r="E97" s="37">
        <f>35/1000</f>
        <v>3.5000000000000003E-2</v>
      </c>
      <c r="F97" s="37">
        <f>19.48/1000</f>
        <v>1.9480000000000001E-2</v>
      </c>
      <c r="G97" s="38">
        <f t="shared" si="2"/>
        <v>1.5520000000000003E-2</v>
      </c>
    </row>
    <row r="98" spans="1:7" ht="15" x14ac:dyDescent="0.2">
      <c r="A98" s="8" t="s">
        <v>210</v>
      </c>
      <c r="B98" s="45" t="s">
        <v>2</v>
      </c>
      <c r="C98" s="8" t="s">
        <v>2</v>
      </c>
      <c r="D98" s="13">
        <v>8</v>
      </c>
      <c r="E98" s="37">
        <f>13/1000</f>
        <v>1.2999999999999999E-2</v>
      </c>
      <c r="F98" s="37">
        <f>13.298/1000</f>
        <v>1.3298000000000001E-2</v>
      </c>
      <c r="G98" s="38">
        <f t="shared" si="2"/>
        <v>-2.9800000000000139E-4</v>
      </c>
    </row>
    <row r="99" spans="1:7" ht="45" x14ac:dyDescent="0.2">
      <c r="A99" s="8" t="s">
        <v>210</v>
      </c>
      <c r="B99" s="45" t="s">
        <v>252</v>
      </c>
      <c r="C99" s="8" t="s">
        <v>250</v>
      </c>
      <c r="D99" s="13">
        <v>5</v>
      </c>
      <c r="E99" s="37"/>
      <c r="F99" s="37">
        <f>90.955/1000</f>
        <v>9.0954999999999994E-2</v>
      </c>
      <c r="G99" s="38">
        <f>E99-F99</f>
        <v>-9.0954999999999994E-2</v>
      </c>
    </row>
    <row r="100" spans="1:7" ht="15" x14ac:dyDescent="0.2">
      <c r="A100" s="11" t="s">
        <v>195</v>
      </c>
      <c r="B100" s="69" t="s">
        <v>196</v>
      </c>
      <c r="C100" s="11" t="s">
        <v>196</v>
      </c>
      <c r="D100" s="6">
        <v>8</v>
      </c>
      <c r="E100" s="37">
        <f>864.5/1000</f>
        <v>0.86450000000000005</v>
      </c>
      <c r="F100" s="37">
        <f>1387.97/1000</f>
        <v>1.3879699999999999</v>
      </c>
      <c r="G100" s="38">
        <f>E100-F100</f>
        <v>-0.52346999999999988</v>
      </c>
    </row>
    <row r="101" spans="1:7" ht="30" x14ac:dyDescent="0.2">
      <c r="A101" s="11" t="s">
        <v>195</v>
      </c>
      <c r="B101" s="59" t="s">
        <v>87</v>
      </c>
      <c r="C101" s="11" t="s">
        <v>197</v>
      </c>
      <c r="D101" s="6">
        <v>3</v>
      </c>
      <c r="E101" s="37">
        <f>1100/1000</f>
        <v>1.1000000000000001</v>
      </c>
      <c r="F101" s="37">
        <f>907.524/1000</f>
        <v>0.907524</v>
      </c>
      <c r="G101" s="38">
        <f t="shared" si="2"/>
        <v>0.19247600000000009</v>
      </c>
    </row>
    <row r="102" spans="1:7" ht="60" x14ac:dyDescent="0.2">
      <c r="A102" s="19" t="s">
        <v>89</v>
      </c>
      <c r="B102" s="45" t="s">
        <v>90</v>
      </c>
      <c r="C102" s="49" t="s">
        <v>190</v>
      </c>
      <c r="D102" s="22">
        <v>3</v>
      </c>
      <c r="E102" s="37">
        <f>0.884/1000</f>
        <v>8.8400000000000002E-4</v>
      </c>
      <c r="F102" s="37">
        <f>0.884/1000</f>
        <v>8.8400000000000002E-4</v>
      </c>
      <c r="G102" s="38">
        <f t="shared" si="2"/>
        <v>0</v>
      </c>
    </row>
    <row r="103" spans="1:7" ht="30" x14ac:dyDescent="0.2">
      <c r="A103" s="3" t="s">
        <v>198</v>
      </c>
      <c r="B103" s="44" t="s">
        <v>91</v>
      </c>
      <c r="C103" s="3" t="s">
        <v>0</v>
      </c>
      <c r="D103" s="6">
        <v>4</v>
      </c>
      <c r="E103" s="37">
        <f>558.912/1000</f>
        <v>0.55891200000000008</v>
      </c>
      <c r="F103" s="37">
        <f>248.676/1000</f>
        <v>0.24867599999999998</v>
      </c>
      <c r="G103" s="38">
        <f t="shared" si="2"/>
        <v>0.31023600000000007</v>
      </c>
    </row>
    <row r="104" spans="1:7" ht="30" x14ac:dyDescent="0.2">
      <c r="A104" s="3" t="s">
        <v>198</v>
      </c>
      <c r="B104" s="45" t="s">
        <v>92</v>
      </c>
      <c r="C104" s="3" t="s">
        <v>0</v>
      </c>
      <c r="D104" s="6">
        <v>4</v>
      </c>
      <c r="E104" s="37">
        <f>500.109/1000</f>
        <v>0.50010900000000003</v>
      </c>
      <c r="F104" s="37">
        <f>322.313/1000</f>
        <v>0.32231299999999996</v>
      </c>
      <c r="G104" s="38">
        <f t="shared" si="2"/>
        <v>0.17779600000000007</v>
      </c>
    </row>
    <row r="105" spans="1:7" ht="30" x14ac:dyDescent="0.2">
      <c r="A105" s="3" t="s">
        <v>198</v>
      </c>
      <c r="B105" s="45" t="s">
        <v>93</v>
      </c>
      <c r="C105" s="8" t="s">
        <v>199</v>
      </c>
      <c r="D105" s="10">
        <v>6</v>
      </c>
      <c r="E105" s="37">
        <f>8/1000</f>
        <v>8.0000000000000002E-3</v>
      </c>
      <c r="F105" s="37">
        <f>0/1000</f>
        <v>0</v>
      </c>
      <c r="G105" s="38">
        <f t="shared" si="2"/>
        <v>8.0000000000000002E-3</v>
      </c>
    </row>
    <row r="106" spans="1:7" ht="30" x14ac:dyDescent="0.2">
      <c r="A106" s="3" t="s">
        <v>198</v>
      </c>
      <c r="B106" s="45" t="s">
        <v>1</v>
      </c>
      <c r="C106" s="8" t="s">
        <v>247</v>
      </c>
      <c r="D106" s="6">
        <v>4</v>
      </c>
      <c r="E106" s="37">
        <f>110/1000</f>
        <v>0.11</v>
      </c>
      <c r="F106" s="37">
        <f>7.656/1000</f>
        <v>7.6559999999999996E-3</v>
      </c>
      <c r="G106" s="38">
        <f t="shared" si="2"/>
        <v>0.102344</v>
      </c>
    </row>
    <row r="107" spans="1:7" ht="45" x14ac:dyDescent="0.2">
      <c r="A107" s="14" t="s">
        <v>198</v>
      </c>
      <c r="B107" s="70" t="s">
        <v>94</v>
      </c>
      <c r="C107" s="58" t="s">
        <v>256</v>
      </c>
      <c r="D107" s="15">
        <v>6</v>
      </c>
      <c r="E107" s="37">
        <f>1/1000</f>
        <v>1E-3</v>
      </c>
      <c r="F107" s="37">
        <f>0.5/1000</f>
        <v>5.0000000000000001E-4</v>
      </c>
      <c r="G107" s="38">
        <f t="shared" si="2"/>
        <v>5.0000000000000001E-4</v>
      </c>
    </row>
    <row r="108" spans="1:7" ht="75" x14ac:dyDescent="0.2">
      <c r="A108" s="14" t="s">
        <v>198</v>
      </c>
      <c r="B108" s="70" t="s">
        <v>200</v>
      </c>
      <c r="C108" s="71" t="s">
        <v>95</v>
      </c>
      <c r="D108" s="15">
        <v>4</v>
      </c>
      <c r="E108" s="37">
        <f>1964.6/1000</f>
        <v>1.9645999999999999</v>
      </c>
      <c r="F108" s="37">
        <v>0</v>
      </c>
      <c r="G108" s="38">
        <f t="shared" si="2"/>
        <v>1.9645999999999999</v>
      </c>
    </row>
    <row r="109" spans="1:7" ht="60" x14ac:dyDescent="0.2">
      <c r="A109" s="14" t="s">
        <v>198</v>
      </c>
      <c r="B109" s="70" t="s">
        <v>96</v>
      </c>
      <c r="C109" s="8" t="s">
        <v>247</v>
      </c>
      <c r="D109" s="15">
        <v>6</v>
      </c>
      <c r="E109" s="37">
        <f>2.5/1000</f>
        <v>2.5000000000000001E-3</v>
      </c>
      <c r="F109" s="37">
        <f>1.807/1000</f>
        <v>1.807E-3</v>
      </c>
      <c r="G109" s="38">
        <f t="shared" si="2"/>
        <v>6.9300000000000004E-4</v>
      </c>
    </row>
    <row r="110" spans="1:7" ht="60" x14ac:dyDescent="0.2">
      <c r="A110" s="3" t="s">
        <v>198</v>
      </c>
      <c r="B110" s="52" t="s">
        <v>97</v>
      </c>
      <c r="C110" s="8" t="s">
        <v>247</v>
      </c>
      <c r="D110" s="6">
        <v>6</v>
      </c>
      <c r="E110" s="37">
        <f>4/1000</f>
        <v>4.0000000000000001E-3</v>
      </c>
      <c r="F110" s="37">
        <f>0/1000</f>
        <v>0</v>
      </c>
      <c r="G110" s="38">
        <f t="shared" si="2"/>
        <v>4.0000000000000001E-3</v>
      </c>
    </row>
    <row r="111" spans="1:7" ht="60" x14ac:dyDescent="0.2">
      <c r="A111" s="3" t="s">
        <v>198</v>
      </c>
      <c r="B111" s="52" t="s">
        <v>99</v>
      </c>
      <c r="C111" s="8" t="s">
        <v>98</v>
      </c>
      <c r="D111" s="10">
        <v>4</v>
      </c>
      <c r="E111" s="37">
        <f>11/1000</f>
        <v>1.0999999999999999E-2</v>
      </c>
      <c r="F111" s="37">
        <f>5.522/1000</f>
        <v>5.522E-3</v>
      </c>
      <c r="G111" s="38">
        <f t="shared" si="2"/>
        <v>5.4779999999999994E-3</v>
      </c>
    </row>
    <row r="112" spans="1:7" ht="45" x14ac:dyDescent="0.2">
      <c r="A112" s="3" t="s">
        <v>198</v>
      </c>
      <c r="B112" s="52" t="s">
        <v>202</v>
      </c>
      <c r="C112" s="8" t="s">
        <v>247</v>
      </c>
      <c r="D112" s="6">
        <v>6</v>
      </c>
      <c r="E112" s="37">
        <f>1.7/1000</f>
        <v>1.6999999999999999E-3</v>
      </c>
      <c r="F112" s="37">
        <f>1.4/1000</f>
        <v>1.4E-3</v>
      </c>
      <c r="G112" s="38">
        <f t="shared" si="2"/>
        <v>2.9999999999999992E-4</v>
      </c>
    </row>
    <row r="113" spans="1:7" ht="30" x14ac:dyDescent="0.2">
      <c r="A113" s="3" t="s">
        <v>198</v>
      </c>
      <c r="B113" s="45" t="s">
        <v>100</v>
      </c>
      <c r="C113" s="8" t="s">
        <v>100</v>
      </c>
      <c r="D113" s="6">
        <v>8</v>
      </c>
      <c r="E113" s="37">
        <f>10/1000</f>
        <v>0.01</v>
      </c>
      <c r="F113" s="37">
        <f>9.281/1000</f>
        <v>9.2810000000000011E-3</v>
      </c>
      <c r="G113" s="38">
        <f t="shared" si="2"/>
        <v>7.1899999999999915E-4</v>
      </c>
    </row>
    <row r="114" spans="1:7" ht="60" x14ac:dyDescent="0.2">
      <c r="A114" s="3" t="s">
        <v>198</v>
      </c>
      <c r="B114" s="45" t="s">
        <v>101</v>
      </c>
      <c r="C114" s="8" t="s">
        <v>190</v>
      </c>
      <c r="D114" s="10">
        <v>3</v>
      </c>
      <c r="E114" s="37">
        <f>0.809/1000</f>
        <v>8.0900000000000004E-4</v>
      </c>
      <c r="F114" s="37">
        <f>0.809/1000</f>
        <v>8.0900000000000004E-4</v>
      </c>
      <c r="G114" s="38">
        <f t="shared" si="2"/>
        <v>0</v>
      </c>
    </row>
    <row r="115" spans="1:7" ht="60" x14ac:dyDescent="0.2">
      <c r="A115" s="3" t="s">
        <v>198</v>
      </c>
      <c r="B115" s="45" t="s">
        <v>102</v>
      </c>
      <c r="C115" s="8" t="s">
        <v>190</v>
      </c>
      <c r="D115" s="10">
        <v>3</v>
      </c>
      <c r="E115" s="37">
        <f>4.042/1000</f>
        <v>4.0419999999999996E-3</v>
      </c>
      <c r="F115" s="37">
        <f>4.042/1000</f>
        <v>4.0419999999999996E-3</v>
      </c>
      <c r="G115" s="38">
        <f t="shared" si="2"/>
        <v>0</v>
      </c>
    </row>
    <row r="116" spans="1:7" ht="60" x14ac:dyDescent="0.2">
      <c r="A116" s="3" t="s">
        <v>198</v>
      </c>
      <c r="B116" s="45" t="s">
        <v>103</v>
      </c>
      <c r="C116" s="8" t="s">
        <v>190</v>
      </c>
      <c r="D116" s="10">
        <v>3</v>
      </c>
      <c r="E116" s="37">
        <f>1.162/1000</f>
        <v>1.1619999999999998E-3</v>
      </c>
      <c r="F116" s="37">
        <f>1.162/1000</f>
        <v>1.1619999999999998E-3</v>
      </c>
      <c r="G116" s="38">
        <f t="shared" si="2"/>
        <v>0</v>
      </c>
    </row>
    <row r="117" spans="1:7" ht="45" x14ac:dyDescent="0.2">
      <c r="A117" s="3" t="s">
        <v>198</v>
      </c>
      <c r="B117" s="52" t="s">
        <v>105</v>
      </c>
      <c r="C117" s="72" t="s">
        <v>104</v>
      </c>
      <c r="D117" s="10">
        <v>6</v>
      </c>
      <c r="E117" s="37">
        <f>0.9/1000</f>
        <v>8.9999999999999998E-4</v>
      </c>
      <c r="F117" s="37">
        <f>0.9/1000</f>
        <v>8.9999999999999998E-4</v>
      </c>
      <c r="G117" s="38">
        <f t="shared" si="2"/>
        <v>0</v>
      </c>
    </row>
    <row r="118" spans="1:7" ht="45" x14ac:dyDescent="0.2">
      <c r="A118" s="3" t="s">
        <v>198</v>
      </c>
      <c r="B118" s="52" t="s">
        <v>106</v>
      </c>
      <c r="C118" s="54" t="s">
        <v>201</v>
      </c>
      <c r="D118" s="6">
        <v>7</v>
      </c>
      <c r="E118" s="37">
        <f>0.133/1000</f>
        <v>1.3300000000000001E-4</v>
      </c>
      <c r="F118" s="37">
        <f>0.002/1000</f>
        <v>1.9999999999999999E-6</v>
      </c>
      <c r="G118" s="38">
        <f t="shared" si="2"/>
        <v>1.3100000000000001E-4</v>
      </c>
    </row>
    <row r="119" spans="1:7" ht="45" x14ac:dyDescent="0.2">
      <c r="A119" s="3" t="s">
        <v>198</v>
      </c>
      <c r="B119" s="52" t="s">
        <v>107</v>
      </c>
      <c r="C119" s="54" t="s">
        <v>201</v>
      </c>
      <c r="D119" s="6">
        <v>7</v>
      </c>
      <c r="E119" s="37">
        <f>0.133/1000</f>
        <v>1.3300000000000001E-4</v>
      </c>
      <c r="F119" s="37">
        <f>0/1000</f>
        <v>0</v>
      </c>
      <c r="G119" s="38">
        <f t="shared" si="2"/>
        <v>1.3300000000000001E-4</v>
      </c>
    </row>
    <row r="120" spans="1:7" ht="45" x14ac:dyDescent="0.2">
      <c r="A120" s="3" t="s">
        <v>213</v>
      </c>
      <c r="B120" s="52" t="s">
        <v>108</v>
      </c>
      <c r="C120" s="49" t="s">
        <v>214</v>
      </c>
      <c r="D120" s="6">
        <v>4</v>
      </c>
      <c r="E120" s="37">
        <f>262.515/1000</f>
        <v>0.262515</v>
      </c>
      <c r="F120" s="37">
        <v>0</v>
      </c>
      <c r="G120" s="38">
        <f t="shared" ref="G120:G151" si="3">E120-F120</f>
        <v>0.262515</v>
      </c>
    </row>
    <row r="121" spans="1:7" ht="45" x14ac:dyDescent="0.2">
      <c r="A121" s="3" t="s">
        <v>213</v>
      </c>
      <c r="B121" s="52" t="s">
        <v>109</v>
      </c>
      <c r="C121" s="49" t="s">
        <v>214</v>
      </c>
      <c r="D121" s="29">
        <v>4</v>
      </c>
      <c r="E121" s="37">
        <f>444.421/1000</f>
        <v>0.44442100000000001</v>
      </c>
      <c r="F121" s="37">
        <f>388.832/1000</f>
        <v>0.38883200000000001</v>
      </c>
      <c r="G121" s="38">
        <f t="shared" si="3"/>
        <v>5.5589E-2</v>
      </c>
    </row>
    <row r="122" spans="1:7" ht="45" x14ac:dyDescent="0.2">
      <c r="A122" s="3" t="s">
        <v>213</v>
      </c>
      <c r="B122" s="52" t="s">
        <v>13</v>
      </c>
      <c r="C122" s="66" t="s">
        <v>214</v>
      </c>
      <c r="D122" s="6">
        <v>3</v>
      </c>
      <c r="E122" s="37">
        <f>161.265/1000</f>
        <v>0.16126499999999999</v>
      </c>
      <c r="F122" s="37">
        <f>0/1000</f>
        <v>0</v>
      </c>
      <c r="G122" s="38">
        <f t="shared" si="3"/>
        <v>0.16126499999999999</v>
      </c>
    </row>
    <row r="123" spans="1:7" ht="45" x14ac:dyDescent="0.2">
      <c r="A123" s="3" t="s">
        <v>213</v>
      </c>
      <c r="B123" s="52" t="s">
        <v>110</v>
      </c>
      <c r="C123" s="49" t="s">
        <v>214</v>
      </c>
      <c r="D123" s="6">
        <v>4</v>
      </c>
      <c r="E123" s="37">
        <f>1464.883/1000</f>
        <v>1.4648829999999999</v>
      </c>
      <c r="F123" s="37">
        <f>1295.025/1000</f>
        <v>1.2950250000000001</v>
      </c>
      <c r="G123" s="38">
        <f t="shared" si="3"/>
        <v>0.16985799999999984</v>
      </c>
    </row>
    <row r="124" spans="1:7" ht="45" x14ac:dyDescent="0.2">
      <c r="A124" s="3" t="s">
        <v>213</v>
      </c>
      <c r="B124" s="52" t="s">
        <v>111</v>
      </c>
      <c r="C124" s="66" t="s">
        <v>214</v>
      </c>
      <c r="D124" s="6">
        <v>4</v>
      </c>
      <c r="E124" s="37">
        <f>456.147/1000</f>
        <v>0.45614699999999997</v>
      </c>
      <c r="F124" s="37">
        <f>260.769/1000</f>
        <v>0.26076900000000003</v>
      </c>
      <c r="G124" s="38">
        <f t="shared" si="3"/>
        <v>0.19537799999999994</v>
      </c>
    </row>
    <row r="125" spans="1:7" ht="45" x14ac:dyDescent="0.2">
      <c r="A125" s="3" t="s">
        <v>213</v>
      </c>
      <c r="B125" s="52" t="s">
        <v>112</v>
      </c>
      <c r="C125" s="66" t="s">
        <v>214</v>
      </c>
      <c r="D125" s="6">
        <v>4</v>
      </c>
      <c r="E125" s="37">
        <f>298.176/1000</f>
        <v>0.298176</v>
      </c>
      <c r="F125" s="37">
        <f>160.542/1000</f>
        <v>0.16054199999999999</v>
      </c>
      <c r="G125" s="38">
        <f t="shared" si="3"/>
        <v>0.13763400000000001</v>
      </c>
    </row>
    <row r="126" spans="1:7" ht="45" x14ac:dyDescent="0.2">
      <c r="A126" s="3" t="s">
        <v>213</v>
      </c>
      <c r="B126" s="52" t="s">
        <v>21</v>
      </c>
      <c r="C126" s="66" t="s">
        <v>214</v>
      </c>
      <c r="D126" s="6">
        <v>4</v>
      </c>
      <c r="E126" s="37">
        <f>380.154/1000</f>
        <v>0.38015399999999999</v>
      </c>
      <c r="F126" s="37">
        <f>260.285/1000</f>
        <v>0.26028500000000004</v>
      </c>
      <c r="G126" s="38">
        <f t="shared" si="3"/>
        <v>0.11986899999999995</v>
      </c>
    </row>
    <row r="127" spans="1:7" ht="30" x14ac:dyDescent="0.2">
      <c r="A127" s="3" t="s">
        <v>213</v>
      </c>
      <c r="B127" s="52" t="s">
        <v>16</v>
      </c>
      <c r="C127" s="8" t="s">
        <v>199</v>
      </c>
      <c r="D127" s="6">
        <v>6</v>
      </c>
      <c r="E127" s="37">
        <f>3/1000</f>
        <v>3.0000000000000001E-3</v>
      </c>
      <c r="F127" s="37">
        <f>3.161/1000</f>
        <v>3.1610000000000002E-3</v>
      </c>
      <c r="G127" s="38">
        <f t="shared" si="3"/>
        <v>-1.6100000000000012E-4</v>
      </c>
    </row>
    <row r="128" spans="1:7" ht="45" x14ac:dyDescent="0.2">
      <c r="A128" s="3" t="s">
        <v>213</v>
      </c>
      <c r="B128" s="52" t="s">
        <v>113</v>
      </c>
      <c r="C128" s="8" t="s">
        <v>199</v>
      </c>
      <c r="D128" s="6">
        <v>6</v>
      </c>
      <c r="E128" s="37">
        <f>2/1000</f>
        <v>2E-3</v>
      </c>
      <c r="F128" s="37">
        <f>1.664/1000</f>
        <v>1.6639999999999999E-3</v>
      </c>
      <c r="G128" s="38">
        <f t="shared" si="3"/>
        <v>3.3600000000000014E-4</v>
      </c>
    </row>
    <row r="129" spans="1:7" ht="30" x14ac:dyDescent="0.2">
      <c r="A129" s="3" t="s">
        <v>213</v>
      </c>
      <c r="B129" s="52" t="s">
        <v>114</v>
      </c>
      <c r="C129" s="8" t="s">
        <v>199</v>
      </c>
      <c r="D129" s="6">
        <v>6</v>
      </c>
      <c r="E129" s="37">
        <f>28/1000</f>
        <v>2.8000000000000001E-2</v>
      </c>
      <c r="F129" s="37">
        <f>0/1000</f>
        <v>0</v>
      </c>
      <c r="G129" s="38">
        <f t="shared" si="3"/>
        <v>2.8000000000000001E-2</v>
      </c>
    </row>
    <row r="130" spans="1:7" ht="30" x14ac:dyDescent="0.2">
      <c r="A130" s="3" t="s">
        <v>213</v>
      </c>
      <c r="B130" s="52" t="s">
        <v>115</v>
      </c>
      <c r="C130" s="8" t="s">
        <v>199</v>
      </c>
      <c r="D130" s="6">
        <v>6</v>
      </c>
      <c r="E130" s="37">
        <f>6/1000</f>
        <v>6.0000000000000001E-3</v>
      </c>
      <c r="F130" s="37">
        <f>5.342/1000</f>
        <v>5.3419999999999995E-3</v>
      </c>
      <c r="G130" s="38">
        <f t="shared" si="3"/>
        <v>6.580000000000006E-4</v>
      </c>
    </row>
    <row r="131" spans="1:7" ht="30" x14ac:dyDescent="0.2">
      <c r="A131" s="3" t="s">
        <v>213</v>
      </c>
      <c r="B131" s="52" t="s">
        <v>116</v>
      </c>
      <c r="C131" s="8" t="s">
        <v>199</v>
      </c>
      <c r="D131" s="6">
        <v>5</v>
      </c>
      <c r="E131" s="37">
        <f>4.8/1000</f>
        <v>4.7999999999999996E-3</v>
      </c>
      <c r="F131" s="37">
        <f>0/1000</f>
        <v>0</v>
      </c>
      <c r="G131" s="38">
        <f t="shared" si="3"/>
        <v>4.7999999999999996E-3</v>
      </c>
    </row>
    <row r="132" spans="1:7" ht="30" x14ac:dyDescent="0.2">
      <c r="A132" s="3" t="s">
        <v>213</v>
      </c>
      <c r="B132" s="52" t="s">
        <v>117</v>
      </c>
      <c r="C132" s="8" t="s">
        <v>199</v>
      </c>
      <c r="D132" s="6">
        <v>6</v>
      </c>
      <c r="E132" s="37">
        <f>3/1000</f>
        <v>3.0000000000000001E-3</v>
      </c>
      <c r="F132" s="37">
        <f>1.962/1000</f>
        <v>1.9619999999999998E-3</v>
      </c>
      <c r="G132" s="38">
        <f t="shared" si="3"/>
        <v>1.0380000000000003E-3</v>
      </c>
    </row>
    <row r="133" spans="1:7" ht="30" x14ac:dyDescent="0.2">
      <c r="A133" s="3" t="s">
        <v>213</v>
      </c>
      <c r="B133" s="52" t="s">
        <v>118</v>
      </c>
      <c r="C133" s="8" t="s">
        <v>199</v>
      </c>
      <c r="D133" s="6">
        <v>6</v>
      </c>
      <c r="E133" s="37">
        <f>2.8/1000</f>
        <v>2.8E-3</v>
      </c>
      <c r="F133" s="37">
        <f>3.526/1000</f>
        <v>3.5259999999999996E-3</v>
      </c>
      <c r="G133" s="38">
        <f t="shared" si="3"/>
        <v>-7.2599999999999965E-4</v>
      </c>
    </row>
    <row r="134" spans="1:7" ht="30" x14ac:dyDescent="0.2">
      <c r="A134" s="3" t="s">
        <v>213</v>
      </c>
      <c r="B134" s="52" t="s">
        <v>119</v>
      </c>
      <c r="C134" s="8" t="s">
        <v>199</v>
      </c>
      <c r="D134" s="6">
        <v>6</v>
      </c>
      <c r="E134" s="37">
        <f>2.5/1000</f>
        <v>2.5000000000000001E-3</v>
      </c>
      <c r="F134" s="37">
        <f>0.559/1000</f>
        <v>5.5900000000000004E-4</v>
      </c>
      <c r="G134" s="38">
        <f t="shared" si="3"/>
        <v>1.941E-3</v>
      </c>
    </row>
    <row r="135" spans="1:7" ht="30" x14ac:dyDescent="0.2">
      <c r="A135" s="3" t="s">
        <v>213</v>
      </c>
      <c r="B135" s="52" t="s">
        <v>120</v>
      </c>
      <c r="C135" s="8" t="s">
        <v>199</v>
      </c>
      <c r="D135" s="6">
        <v>6</v>
      </c>
      <c r="E135" s="37">
        <f>4.5/1000</f>
        <v>4.4999999999999997E-3</v>
      </c>
      <c r="F135" s="37">
        <f>2.806/1000</f>
        <v>2.8059999999999999E-3</v>
      </c>
      <c r="G135" s="38">
        <f t="shared" si="3"/>
        <v>1.6939999999999998E-3</v>
      </c>
    </row>
    <row r="136" spans="1:7" ht="30" x14ac:dyDescent="0.2">
      <c r="A136" s="3" t="s">
        <v>213</v>
      </c>
      <c r="B136" s="52" t="s">
        <v>121</v>
      </c>
      <c r="C136" s="8" t="s">
        <v>199</v>
      </c>
      <c r="D136" s="6">
        <v>6</v>
      </c>
      <c r="E136" s="37">
        <f>4/1000</f>
        <v>4.0000000000000001E-3</v>
      </c>
      <c r="F136" s="37">
        <f>4.452/1000</f>
        <v>4.4520000000000002E-3</v>
      </c>
      <c r="G136" s="38">
        <f t="shared" si="3"/>
        <v>-4.5200000000000014E-4</v>
      </c>
    </row>
    <row r="137" spans="1:7" ht="45" x14ac:dyDescent="0.2">
      <c r="A137" s="3" t="s">
        <v>213</v>
      </c>
      <c r="B137" s="45" t="s">
        <v>122</v>
      </c>
      <c r="C137" s="8" t="s">
        <v>215</v>
      </c>
      <c r="D137" s="6">
        <v>5</v>
      </c>
      <c r="E137" s="37">
        <f>38/1000</f>
        <v>3.7999999999999999E-2</v>
      </c>
      <c r="F137" s="37">
        <f>33.56/1000</f>
        <v>3.356E-2</v>
      </c>
      <c r="G137" s="38">
        <f t="shared" si="3"/>
        <v>4.4399999999999995E-3</v>
      </c>
    </row>
    <row r="138" spans="1:7" ht="30" x14ac:dyDescent="0.2">
      <c r="A138" s="3" t="s">
        <v>213</v>
      </c>
      <c r="B138" s="45" t="s">
        <v>123</v>
      </c>
      <c r="C138" s="8" t="s">
        <v>123</v>
      </c>
      <c r="D138" s="6">
        <v>8</v>
      </c>
      <c r="E138" s="37">
        <f>109.5/1000</f>
        <v>0.1095</v>
      </c>
      <c r="F138" s="37">
        <f>116.741/1000</f>
        <v>0.116741</v>
      </c>
      <c r="G138" s="38">
        <f t="shared" si="3"/>
        <v>-7.2409999999999974E-3</v>
      </c>
    </row>
    <row r="139" spans="1:7" ht="75" x14ac:dyDescent="0.2">
      <c r="A139" s="3" t="s">
        <v>213</v>
      </c>
      <c r="B139" s="45" t="s">
        <v>124</v>
      </c>
      <c r="C139" s="8" t="s">
        <v>190</v>
      </c>
      <c r="D139" s="10">
        <v>3</v>
      </c>
      <c r="E139" s="37">
        <f>2.244/1000</f>
        <v>2.2440000000000003E-3</v>
      </c>
      <c r="F139" s="37">
        <f>2.244/1000</f>
        <v>2.2440000000000003E-3</v>
      </c>
      <c r="G139" s="38">
        <f t="shared" si="3"/>
        <v>0</v>
      </c>
    </row>
    <row r="140" spans="1:7" ht="60" x14ac:dyDescent="0.2">
      <c r="A140" s="3" t="s">
        <v>213</v>
      </c>
      <c r="B140" s="45" t="s">
        <v>125</v>
      </c>
      <c r="C140" s="8" t="s">
        <v>190</v>
      </c>
      <c r="D140" s="10">
        <v>3</v>
      </c>
      <c r="E140" s="37">
        <f>6.4/1000</f>
        <v>6.4000000000000003E-3</v>
      </c>
      <c r="F140" s="37">
        <f>6.4/1000</f>
        <v>6.4000000000000003E-3</v>
      </c>
      <c r="G140" s="38">
        <f t="shared" si="3"/>
        <v>0</v>
      </c>
    </row>
    <row r="141" spans="1:7" ht="75" x14ac:dyDescent="0.2">
      <c r="A141" s="3" t="s">
        <v>213</v>
      </c>
      <c r="B141" s="45" t="s">
        <v>126</v>
      </c>
      <c r="C141" s="8" t="s">
        <v>190</v>
      </c>
      <c r="D141" s="10">
        <v>3</v>
      </c>
      <c r="E141" s="37">
        <f>5.251/1000</f>
        <v>5.2510000000000005E-3</v>
      </c>
      <c r="F141" s="37">
        <f>5.251/1000</f>
        <v>5.2510000000000005E-3</v>
      </c>
      <c r="G141" s="38">
        <f t="shared" si="3"/>
        <v>0</v>
      </c>
    </row>
    <row r="142" spans="1:7" ht="45" x14ac:dyDescent="0.2">
      <c r="A142" s="3" t="s">
        <v>213</v>
      </c>
      <c r="B142" s="45" t="s">
        <v>127</v>
      </c>
      <c r="C142" s="49" t="s">
        <v>201</v>
      </c>
      <c r="D142" s="6">
        <v>7</v>
      </c>
      <c r="E142" s="37">
        <f>0.486/1000</f>
        <v>4.86E-4</v>
      </c>
      <c r="F142" s="37">
        <f>0.058/1000</f>
        <v>5.8E-5</v>
      </c>
      <c r="G142" s="38">
        <f t="shared" si="3"/>
        <v>4.28E-4</v>
      </c>
    </row>
    <row r="143" spans="1:7" ht="45" x14ac:dyDescent="0.2">
      <c r="A143" s="3" t="s">
        <v>213</v>
      </c>
      <c r="B143" s="45" t="s">
        <v>128</v>
      </c>
      <c r="C143" s="8" t="s">
        <v>247</v>
      </c>
      <c r="D143" s="6">
        <v>7</v>
      </c>
      <c r="E143" s="37">
        <f>0.6/1000</f>
        <v>5.9999999999999995E-4</v>
      </c>
      <c r="F143" s="37">
        <f>0.798/1000</f>
        <v>7.9799999999999999E-4</v>
      </c>
      <c r="G143" s="38">
        <f t="shared" si="3"/>
        <v>-1.9800000000000004E-4</v>
      </c>
    </row>
    <row r="144" spans="1:7" ht="15" x14ac:dyDescent="0.2">
      <c r="A144" s="3" t="s">
        <v>213</v>
      </c>
      <c r="B144" s="45" t="s">
        <v>130</v>
      </c>
      <c r="C144" s="49" t="s">
        <v>129</v>
      </c>
      <c r="D144" s="6">
        <v>6</v>
      </c>
      <c r="E144" s="37">
        <f>3.2/1000</f>
        <v>3.2000000000000002E-3</v>
      </c>
      <c r="F144" s="37">
        <f>4.035/1000</f>
        <v>4.0350000000000004E-3</v>
      </c>
      <c r="G144" s="38">
        <f t="shared" si="3"/>
        <v>-8.3500000000000024E-4</v>
      </c>
    </row>
    <row r="145" spans="1:7" ht="60" x14ac:dyDescent="0.2">
      <c r="A145" s="3" t="s">
        <v>213</v>
      </c>
      <c r="B145" s="52" t="s">
        <v>131</v>
      </c>
      <c r="C145" s="58" t="s">
        <v>256</v>
      </c>
      <c r="D145" s="6">
        <v>7</v>
      </c>
      <c r="E145" s="37">
        <f>1.08/1000</f>
        <v>1.08E-3</v>
      </c>
      <c r="F145" s="37">
        <f>1.08/1000</f>
        <v>1.08E-3</v>
      </c>
      <c r="G145" s="38">
        <f t="shared" si="3"/>
        <v>0</v>
      </c>
    </row>
    <row r="146" spans="1:7" ht="45" x14ac:dyDescent="0.2">
      <c r="A146" s="3" t="s">
        <v>213</v>
      </c>
      <c r="B146" s="52" t="s">
        <v>132</v>
      </c>
      <c r="C146" s="8" t="s">
        <v>247</v>
      </c>
      <c r="D146" s="6">
        <v>7</v>
      </c>
      <c r="E146" s="37">
        <f>0.9/1000</f>
        <v>8.9999999999999998E-4</v>
      </c>
      <c r="F146" s="37">
        <f>0.511/1000</f>
        <v>5.1100000000000006E-4</v>
      </c>
      <c r="G146" s="38">
        <f t="shared" si="3"/>
        <v>3.8899999999999991E-4</v>
      </c>
    </row>
    <row r="147" spans="1:7" ht="30" x14ac:dyDescent="0.2">
      <c r="A147" s="3" t="s">
        <v>213</v>
      </c>
      <c r="B147" s="52" t="s">
        <v>220</v>
      </c>
      <c r="C147" s="8" t="s">
        <v>247</v>
      </c>
      <c r="D147" s="6">
        <v>6</v>
      </c>
      <c r="E147" s="37">
        <f>1.7/1000</f>
        <v>1.6999999999999999E-3</v>
      </c>
      <c r="F147" s="37">
        <f>0.7/1000</f>
        <v>6.9999999999999999E-4</v>
      </c>
      <c r="G147" s="38">
        <f t="shared" si="3"/>
        <v>1E-3</v>
      </c>
    </row>
    <row r="148" spans="1:7" ht="15" x14ac:dyDescent="0.2">
      <c r="A148" s="3" t="s">
        <v>213</v>
      </c>
      <c r="B148" s="45" t="s">
        <v>134</v>
      </c>
      <c r="C148" s="49" t="s">
        <v>133</v>
      </c>
      <c r="D148" s="6">
        <v>7</v>
      </c>
      <c r="E148" s="37">
        <f>0.8/1000</f>
        <v>8.0000000000000004E-4</v>
      </c>
      <c r="F148" s="37">
        <f>0.8/1000</f>
        <v>8.0000000000000004E-4</v>
      </c>
      <c r="G148" s="38">
        <f t="shared" si="3"/>
        <v>0</v>
      </c>
    </row>
    <row r="149" spans="1:7" ht="45" x14ac:dyDescent="0.2">
      <c r="A149" s="3" t="s">
        <v>213</v>
      </c>
      <c r="B149" s="52" t="s">
        <v>217</v>
      </c>
      <c r="C149" s="58" t="s">
        <v>256</v>
      </c>
      <c r="D149" s="6">
        <v>7</v>
      </c>
      <c r="E149" s="37">
        <f>0.08/1000</f>
        <v>8.0000000000000007E-5</v>
      </c>
      <c r="F149" s="37">
        <f>0.08/1000</f>
        <v>8.0000000000000007E-5</v>
      </c>
      <c r="G149" s="38">
        <f t="shared" si="3"/>
        <v>0</v>
      </c>
    </row>
    <row r="150" spans="1:7" ht="45" x14ac:dyDescent="0.2">
      <c r="A150" s="3" t="s">
        <v>213</v>
      </c>
      <c r="B150" s="52" t="s">
        <v>135</v>
      </c>
      <c r="C150" s="54" t="s">
        <v>221</v>
      </c>
      <c r="D150" s="6">
        <v>7</v>
      </c>
      <c r="E150" s="37">
        <f>1/1000</f>
        <v>1E-3</v>
      </c>
      <c r="F150" s="37">
        <f>0.107/1000</f>
        <v>1.07E-4</v>
      </c>
      <c r="G150" s="38">
        <f t="shared" si="3"/>
        <v>8.9300000000000002E-4</v>
      </c>
    </row>
    <row r="151" spans="1:7" ht="75" x14ac:dyDescent="0.2">
      <c r="A151" s="11" t="s">
        <v>213</v>
      </c>
      <c r="B151" s="45" t="s">
        <v>136</v>
      </c>
      <c r="C151" s="58" t="s">
        <v>256</v>
      </c>
      <c r="D151" s="20">
        <v>7</v>
      </c>
      <c r="E151" s="37">
        <f>0.9/1000</f>
        <v>8.9999999999999998E-4</v>
      </c>
      <c r="F151" s="37">
        <f>0.9/1000</f>
        <v>8.9999999999999998E-4</v>
      </c>
      <c r="G151" s="38">
        <f t="shared" si="3"/>
        <v>0</v>
      </c>
    </row>
    <row r="152" spans="1:7" ht="90" x14ac:dyDescent="0.2">
      <c r="A152" s="11" t="s">
        <v>213</v>
      </c>
      <c r="B152" s="45" t="s">
        <v>138</v>
      </c>
      <c r="C152" s="49" t="s">
        <v>137</v>
      </c>
      <c r="D152" s="20">
        <v>6</v>
      </c>
      <c r="E152" s="37">
        <f>1.5/1000</f>
        <v>1.5E-3</v>
      </c>
      <c r="F152" s="37">
        <f>0/1000</f>
        <v>0</v>
      </c>
      <c r="G152" s="38">
        <f t="shared" ref="G152:G184" si="4">E152-F152</f>
        <v>1.5E-3</v>
      </c>
    </row>
    <row r="153" spans="1:7" ht="45" x14ac:dyDescent="0.2">
      <c r="A153" s="3" t="s">
        <v>213</v>
      </c>
      <c r="B153" s="45" t="s">
        <v>139</v>
      </c>
      <c r="C153" s="58" t="s">
        <v>256</v>
      </c>
      <c r="D153" s="6">
        <v>6</v>
      </c>
      <c r="E153" s="37">
        <f>1/1000</f>
        <v>1E-3</v>
      </c>
      <c r="F153" s="37">
        <v>0</v>
      </c>
      <c r="G153" s="38">
        <f t="shared" si="4"/>
        <v>1E-3</v>
      </c>
    </row>
    <row r="154" spans="1:7" ht="30" x14ac:dyDescent="0.2">
      <c r="A154" s="3" t="s">
        <v>213</v>
      </c>
      <c r="B154" s="45" t="s">
        <v>140</v>
      </c>
      <c r="C154" s="58" t="s">
        <v>256</v>
      </c>
      <c r="D154" s="6">
        <v>6</v>
      </c>
      <c r="E154" s="37">
        <f>1.7/1000</f>
        <v>1.6999999999999999E-3</v>
      </c>
      <c r="F154" s="37">
        <f>1.601/1000</f>
        <v>1.601E-3</v>
      </c>
      <c r="G154" s="38">
        <f t="shared" si="4"/>
        <v>9.8999999999999913E-5</v>
      </c>
    </row>
    <row r="155" spans="1:7" ht="45" x14ac:dyDescent="0.2">
      <c r="A155" s="3" t="s">
        <v>213</v>
      </c>
      <c r="B155" s="52" t="s">
        <v>141</v>
      </c>
      <c r="C155" s="58" t="s">
        <v>256</v>
      </c>
      <c r="D155" s="6">
        <v>7</v>
      </c>
      <c r="E155" s="37">
        <f>1/1000</f>
        <v>1E-3</v>
      </c>
      <c r="F155" s="37">
        <f>1/1000</f>
        <v>1E-3</v>
      </c>
      <c r="G155" s="38">
        <f t="shared" si="4"/>
        <v>0</v>
      </c>
    </row>
    <row r="156" spans="1:7" ht="30" x14ac:dyDescent="0.2">
      <c r="A156" s="3" t="s">
        <v>213</v>
      </c>
      <c r="B156" s="45" t="s">
        <v>143</v>
      </c>
      <c r="C156" s="49" t="s">
        <v>142</v>
      </c>
      <c r="D156" s="6">
        <v>7</v>
      </c>
      <c r="E156" s="37">
        <v>0</v>
      </c>
      <c r="F156" s="37">
        <v>0</v>
      </c>
      <c r="G156" s="38">
        <f>E156-F156</f>
        <v>0</v>
      </c>
    </row>
    <row r="157" spans="1:7" ht="81.75" customHeight="1" x14ac:dyDescent="0.2">
      <c r="A157" s="3" t="s">
        <v>213</v>
      </c>
      <c r="B157" s="45" t="s">
        <v>262</v>
      </c>
      <c r="C157" s="58" t="s">
        <v>256</v>
      </c>
      <c r="D157" s="6">
        <v>7</v>
      </c>
      <c r="E157" s="37">
        <f>1/1000</f>
        <v>1E-3</v>
      </c>
      <c r="F157" s="37">
        <f>0/1000</f>
        <v>0</v>
      </c>
      <c r="G157" s="38">
        <f>E157-F157</f>
        <v>1E-3</v>
      </c>
    </row>
    <row r="158" spans="1:7" ht="90" x14ac:dyDescent="0.2">
      <c r="A158" s="3" t="s">
        <v>213</v>
      </c>
      <c r="B158" s="52" t="s">
        <v>223</v>
      </c>
      <c r="C158" s="54" t="s">
        <v>258</v>
      </c>
      <c r="D158" s="6">
        <v>6</v>
      </c>
      <c r="E158" s="37">
        <f>6/1000</f>
        <v>6.0000000000000001E-3</v>
      </c>
      <c r="F158" s="37">
        <f>6/1000</f>
        <v>6.0000000000000001E-3</v>
      </c>
      <c r="G158" s="38">
        <f t="shared" si="4"/>
        <v>0</v>
      </c>
    </row>
    <row r="159" spans="1:7" ht="75" x14ac:dyDescent="0.2">
      <c r="A159" s="3" t="s">
        <v>213</v>
      </c>
      <c r="B159" s="52" t="s">
        <v>144</v>
      </c>
      <c r="C159" s="54" t="s">
        <v>32</v>
      </c>
      <c r="D159" s="6">
        <v>6</v>
      </c>
      <c r="E159" s="37">
        <f>0.5/1000</f>
        <v>5.0000000000000001E-4</v>
      </c>
      <c r="F159" s="37">
        <f>2/1000</f>
        <v>2E-3</v>
      </c>
      <c r="G159" s="38">
        <f t="shared" si="4"/>
        <v>-1.5E-3</v>
      </c>
    </row>
    <row r="160" spans="1:7" ht="60" x14ac:dyDescent="0.2">
      <c r="A160" s="3" t="s">
        <v>213</v>
      </c>
      <c r="B160" s="52" t="s">
        <v>145</v>
      </c>
      <c r="C160" s="8" t="s">
        <v>247</v>
      </c>
      <c r="D160" s="6">
        <v>6</v>
      </c>
      <c r="E160" s="37">
        <f>6/1000</f>
        <v>6.0000000000000001E-3</v>
      </c>
      <c r="F160" s="37">
        <f>4.046/1000</f>
        <v>4.0460000000000001E-3</v>
      </c>
      <c r="G160" s="38">
        <f t="shared" si="4"/>
        <v>1.954E-3</v>
      </c>
    </row>
    <row r="161" spans="1:7" ht="60" x14ac:dyDescent="0.2">
      <c r="A161" s="3" t="s">
        <v>213</v>
      </c>
      <c r="B161" s="52" t="s">
        <v>146</v>
      </c>
      <c r="C161" s="58" t="s">
        <v>256</v>
      </c>
      <c r="D161" s="6">
        <v>7</v>
      </c>
      <c r="E161" s="37">
        <f>1.08/1000</f>
        <v>1.08E-3</v>
      </c>
      <c r="F161" s="37">
        <f>1.08/1000</f>
        <v>1.08E-3</v>
      </c>
      <c r="G161" s="38">
        <f t="shared" si="4"/>
        <v>0</v>
      </c>
    </row>
    <row r="162" spans="1:7" ht="60" x14ac:dyDescent="0.2">
      <c r="A162" s="3" t="s">
        <v>213</v>
      </c>
      <c r="B162" s="45" t="s">
        <v>147</v>
      </c>
      <c r="C162" s="8" t="s">
        <v>247</v>
      </c>
      <c r="D162" s="6">
        <v>7</v>
      </c>
      <c r="E162" s="37">
        <f>0.72/1000</f>
        <v>7.1999999999999994E-4</v>
      </c>
      <c r="F162" s="37">
        <f>0.72/1000</f>
        <v>7.1999999999999994E-4</v>
      </c>
      <c r="G162" s="38">
        <f t="shared" si="4"/>
        <v>0</v>
      </c>
    </row>
    <row r="163" spans="1:7" ht="30" x14ac:dyDescent="0.2">
      <c r="A163" s="3" t="s">
        <v>213</v>
      </c>
      <c r="B163" s="45" t="s">
        <v>149</v>
      </c>
      <c r="C163" s="49" t="s">
        <v>148</v>
      </c>
      <c r="D163" s="6">
        <v>6</v>
      </c>
      <c r="E163" s="37">
        <f>4/1000</f>
        <v>4.0000000000000001E-3</v>
      </c>
      <c r="F163" s="37">
        <f>2/1000</f>
        <v>2E-3</v>
      </c>
      <c r="G163" s="38">
        <f t="shared" si="4"/>
        <v>2E-3</v>
      </c>
    </row>
    <row r="164" spans="1:7" ht="60" x14ac:dyDescent="0.2">
      <c r="A164" s="3" t="s">
        <v>213</v>
      </c>
      <c r="B164" s="73" t="s">
        <v>150</v>
      </c>
      <c r="C164" s="8" t="s">
        <v>247</v>
      </c>
      <c r="D164" s="6">
        <v>6</v>
      </c>
      <c r="E164" s="37">
        <f>3/1000</f>
        <v>3.0000000000000001E-3</v>
      </c>
      <c r="F164" s="37">
        <f>2.5/1000</f>
        <v>2.5000000000000001E-3</v>
      </c>
      <c r="G164" s="38">
        <f t="shared" si="4"/>
        <v>5.0000000000000001E-4</v>
      </c>
    </row>
    <row r="165" spans="1:7" ht="30" x14ac:dyDescent="0.2">
      <c r="A165" s="3" t="s">
        <v>213</v>
      </c>
      <c r="B165" s="45" t="s">
        <v>151</v>
      </c>
      <c r="C165" s="8" t="s">
        <v>247</v>
      </c>
      <c r="D165" s="6">
        <v>6</v>
      </c>
      <c r="E165" s="37">
        <f>2.5/1000</f>
        <v>2.5000000000000001E-3</v>
      </c>
      <c r="F165" s="37">
        <f>3/1000</f>
        <v>3.0000000000000001E-3</v>
      </c>
      <c r="G165" s="38">
        <f t="shared" si="4"/>
        <v>-5.0000000000000001E-4</v>
      </c>
    </row>
    <row r="166" spans="1:7" ht="45" x14ac:dyDescent="0.2">
      <c r="A166" s="3" t="s">
        <v>213</v>
      </c>
      <c r="B166" s="68" t="s">
        <v>152</v>
      </c>
      <c r="C166" s="8" t="s">
        <v>247</v>
      </c>
      <c r="D166" s="6">
        <v>7</v>
      </c>
      <c r="E166" s="37">
        <f>0.25/1000</f>
        <v>2.5000000000000001E-4</v>
      </c>
      <c r="F166" s="37">
        <f>0/1000</f>
        <v>0</v>
      </c>
      <c r="G166" s="38">
        <f t="shared" si="4"/>
        <v>2.5000000000000001E-4</v>
      </c>
    </row>
    <row r="167" spans="1:7" ht="45" x14ac:dyDescent="0.2">
      <c r="A167" s="3" t="s">
        <v>213</v>
      </c>
      <c r="B167" s="52" t="s">
        <v>153</v>
      </c>
      <c r="C167" s="8" t="s">
        <v>247</v>
      </c>
      <c r="D167" s="6">
        <v>7</v>
      </c>
      <c r="E167" s="37">
        <f>0.9/1000</f>
        <v>8.9999999999999998E-4</v>
      </c>
      <c r="F167" s="37">
        <f>1.05/1000</f>
        <v>1.0500000000000002E-3</v>
      </c>
      <c r="G167" s="38">
        <f t="shared" si="4"/>
        <v>-1.5000000000000018E-4</v>
      </c>
    </row>
    <row r="168" spans="1:7" ht="45" x14ac:dyDescent="0.2">
      <c r="A168" s="3" t="s">
        <v>213</v>
      </c>
      <c r="B168" s="52" t="s">
        <v>154</v>
      </c>
      <c r="C168" s="8" t="s">
        <v>247</v>
      </c>
      <c r="D168" s="6">
        <v>6</v>
      </c>
      <c r="E168" s="37">
        <f>3.2/1000</f>
        <v>3.2000000000000002E-3</v>
      </c>
      <c r="F168" s="37">
        <f>3.917/1000</f>
        <v>3.9169999999999995E-3</v>
      </c>
      <c r="G168" s="38">
        <f t="shared" si="4"/>
        <v>-7.1699999999999932E-4</v>
      </c>
    </row>
    <row r="169" spans="1:7" ht="60" x14ac:dyDescent="0.2">
      <c r="A169" s="3" t="s">
        <v>213</v>
      </c>
      <c r="B169" s="52" t="s">
        <v>155</v>
      </c>
      <c r="C169" s="8" t="s">
        <v>247</v>
      </c>
      <c r="D169" s="6">
        <v>7</v>
      </c>
      <c r="E169" s="37">
        <f>1.2/1000</f>
        <v>1.1999999999999999E-3</v>
      </c>
      <c r="F169" s="37">
        <f>1.041/1000</f>
        <v>1.0409999999999998E-3</v>
      </c>
      <c r="G169" s="38">
        <f t="shared" si="4"/>
        <v>1.5900000000000007E-4</v>
      </c>
    </row>
    <row r="170" spans="1:7" ht="75" x14ac:dyDescent="0.2">
      <c r="A170" s="3" t="s">
        <v>213</v>
      </c>
      <c r="B170" s="52" t="s">
        <v>216</v>
      </c>
      <c r="C170" s="8" t="s">
        <v>247</v>
      </c>
      <c r="D170" s="6">
        <v>7</v>
      </c>
      <c r="E170" s="37">
        <f>1.2/1000</f>
        <v>1.1999999999999999E-3</v>
      </c>
      <c r="F170" s="37">
        <f>1.009/1000</f>
        <v>1.0089999999999999E-3</v>
      </c>
      <c r="G170" s="38">
        <f t="shared" si="4"/>
        <v>1.9099999999999998E-4</v>
      </c>
    </row>
    <row r="171" spans="1:7" ht="60" x14ac:dyDescent="0.2">
      <c r="A171" s="11" t="s">
        <v>213</v>
      </c>
      <c r="B171" s="45" t="s">
        <v>156</v>
      </c>
      <c r="C171" s="49" t="s">
        <v>66</v>
      </c>
      <c r="D171" s="20">
        <v>7</v>
      </c>
      <c r="E171" s="37">
        <f>2/1000</f>
        <v>2E-3</v>
      </c>
      <c r="F171" s="37">
        <f>2/1000</f>
        <v>2E-3</v>
      </c>
      <c r="G171" s="38">
        <f t="shared" si="4"/>
        <v>0</v>
      </c>
    </row>
    <row r="172" spans="1:7" ht="45" x14ac:dyDescent="0.2">
      <c r="A172" s="3" t="s">
        <v>213</v>
      </c>
      <c r="B172" s="45" t="s">
        <v>157</v>
      </c>
      <c r="C172" s="8" t="s">
        <v>247</v>
      </c>
      <c r="D172" s="6">
        <v>6</v>
      </c>
      <c r="E172" s="37">
        <f>7/1000</f>
        <v>7.0000000000000001E-3</v>
      </c>
      <c r="F172" s="37">
        <f>0.016/1000</f>
        <v>1.5999999999999999E-5</v>
      </c>
      <c r="G172" s="38">
        <f t="shared" si="4"/>
        <v>6.9839999999999998E-3</v>
      </c>
    </row>
    <row r="173" spans="1:7" ht="60" x14ac:dyDescent="0.2">
      <c r="A173" s="21" t="s">
        <v>213</v>
      </c>
      <c r="B173" s="50" t="s">
        <v>159</v>
      </c>
      <c r="C173" s="74" t="s">
        <v>158</v>
      </c>
      <c r="D173" s="7">
        <v>7</v>
      </c>
      <c r="E173" s="37">
        <f>0.022/1000</f>
        <v>2.1999999999999999E-5</v>
      </c>
      <c r="F173" s="37">
        <f>0.022/1000</f>
        <v>2.1999999999999999E-5</v>
      </c>
      <c r="G173" s="38">
        <f t="shared" si="4"/>
        <v>0</v>
      </c>
    </row>
    <row r="174" spans="1:7" ht="60" x14ac:dyDescent="0.2">
      <c r="A174" s="3" t="s">
        <v>213</v>
      </c>
      <c r="B174" s="52" t="s">
        <v>161</v>
      </c>
      <c r="C174" s="54" t="s">
        <v>160</v>
      </c>
      <c r="D174" s="6">
        <v>7</v>
      </c>
      <c r="E174" s="37">
        <f>0.022/1000</f>
        <v>2.1999999999999999E-5</v>
      </c>
      <c r="F174" s="37">
        <f>0/1000</f>
        <v>0</v>
      </c>
      <c r="G174" s="38">
        <f t="shared" si="4"/>
        <v>2.1999999999999999E-5</v>
      </c>
    </row>
    <row r="175" spans="1:7" ht="45" x14ac:dyDescent="0.2">
      <c r="A175" s="3" t="s">
        <v>213</v>
      </c>
      <c r="B175" s="52" t="s">
        <v>162</v>
      </c>
      <c r="C175" s="49" t="s">
        <v>88</v>
      </c>
      <c r="D175" s="6">
        <v>7</v>
      </c>
      <c r="E175" s="37">
        <v>0</v>
      </c>
      <c r="F175" s="37">
        <f>0/1000</f>
        <v>0</v>
      </c>
      <c r="G175" s="38">
        <f t="shared" si="4"/>
        <v>0</v>
      </c>
    </row>
    <row r="176" spans="1:7" ht="60" x14ac:dyDescent="0.2">
      <c r="A176" s="3" t="s">
        <v>213</v>
      </c>
      <c r="B176" s="52" t="s">
        <v>259</v>
      </c>
      <c r="C176" s="49" t="s">
        <v>256</v>
      </c>
      <c r="D176" s="6">
        <v>7</v>
      </c>
      <c r="E176" s="37">
        <f>0.4/1000</f>
        <v>4.0000000000000002E-4</v>
      </c>
      <c r="F176" s="37">
        <f>0.4/1000</f>
        <v>4.0000000000000002E-4</v>
      </c>
      <c r="G176" s="38">
        <f t="shared" si="4"/>
        <v>0</v>
      </c>
    </row>
    <row r="177" spans="1:7" ht="30" x14ac:dyDescent="0.2">
      <c r="A177" s="3" t="s">
        <v>213</v>
      </c>
      <c r="B177" s="45" t="s">
        <v>164</v>
      </c>
      <c r="C177" s="8" t="s">
        <v>163</v>
      </c>
      <c r="D177" s="6">
        <v>6</v>
      </c>
      <c r="E177" s="37">
        <f>7.2/1000</f>
        <v>7.1999999999999998E-3</v>
      </c>
      <c r="F177" s="37">
        <f>7.2/1000</f>
        <v>7.1999999999999998E-3</v>
      </c>
      <c r="G177" s="38">
        <f t="shared" si="4"/>
        <v>0</v>
      </c>
    </row>
    <row r="178" spans="1:7" ht="30" x14ac:dyDescent="0.2">
      <c r="A178" s="3" t="s">
        <v>213</v>
      </c>
      <c r="B178" s="45" t="s">
        <v>14</v>
      </c>
      <c r="C178" s="8" t="s">
        <v>247</v>
      </c>
      <c r="D178" s="6">
        <v>6</v>
      </c>
      <c r="E178" s="37">
        <f>3/1000</f>
        <v>3.0000000000000001E-3</v>
      </c>
      <c r="F178" s="37">
        <f>3.093/1000</f>
        <v>3.0929999999999998E-3</v>
      </c>
      <c r="G178" s="38">
        <f t="shared" si="4"/>
        <v>-9.2999999999999767E-5</v>
      </c>
    </row>
    <row r="179" spans="1:7" ht="45" x14ac:dyDescent="0.2">
      <c r="A179" s="3" t="s">
        <v>213</v>
      </c>
      <c r="B179" s="52" t="s">
        <v>165</v>
      </c>
      <c r="C179" s="8" t="s">
        <v>247</v>
      </c>
      <c r="D179" s="6">
        <v>6</v>
      </c>
      <c r="E179" s="37">
        <f>1/1000</f>
        <v>1E-3</v>
      </c>
      <c r="F179" s="37">
        <f>5.861/1000</f>
        <v>5.8609999999999999E-3</v>
      </c>
      <c r="G179" s="38">
        <f t="shared" si="4"/>
        <v>-4.8609999999999999E-3</v>
      </c>
    </row>
    <row r="180" spans="1:7" ht="30" x14ac:dyDescent="0.2">
      <c r="A180" s="3" t="s">
        <v>213</v>
      </c>
      <c r="B180" s="52" t="s">
        <v>166</v>
      </c>
      <c r="C180" s="8" t="s">
        <v>247</v>
      </c>
      <c r="D180" s="6">
        <v>6</v>
      </c>
      <c r="E180" s="37">
        <f>1.2/1000</f>
        <v>1.1999999999999999E-3</v>
      </c>
      <c r="F180" s="37">
        <f>4.087/1000</f>
        <v>4.0869999999999995E-3</v>
      </c>
      <c r="G180" s="38">
        <f t="shared" si="4"/>
        <v>-2.8869999999999998E-3</v>
      </c>
    </row>
    <row r="181" spans="1:7" ht="30" x14ac:dyDescent="0.2">
      <c r="A181" s="3" t="s">
        <v>213</v>
      </c>
      <c r="B181" s="52" t="s">
        <v>167</v>
      </c>
      <c r="C181" s="8" t="s">
        <v>247</v>
      </c>
      <c r="D181" s="6">
        <v>6</v>
      </c>
      <c r="E181" s="37">
        <f>1/1000</f>
        <v>1E-3</v>
      </c>
      <c r="F181" s="37">
        <f>0.8/1000</f>
        <v>8.0000000000000004E-4</v>
      </c>
      <c r="G181" s="38">
        <f t="shared" si="4"/>
        <v>1.9999999999999998E-4</v>
      </c>
    </row>
    <row r="182" spans="1:7" ht="30" x14ac:dyDescent="0.2">
      <c r="A182" s="3" t="s">
        <v>213</v>
      </c>
      <c r="B182" s="45" t="s">
        <v>219</v>
      </c>
      <c r="C182" s="8" t="s">
        <v>247</v>
      </c>
      <c r="D182" s="6">
        <v>6</v>
      </c>
      <c r="E182" s="37">
        <f>2.4/1000</f>
        <v>2.3999999999999998E-3</v>
      </c>
      <c r="F182" s="37">
        <f>0/1000</f>
        <v>0</v>
      </c>
      <c r="G182" s="38">
        <f t="shared" si="4"/>
        <v>2.3999999999999998E-3</v>
      </c>
    </row>
    <row r="183" spans="1:7" ht="75" x14ac:dyDescent="0.2">
      <c r="A183" s="11" t="s">
        <v>213</v>
      </c>
      <c r="B183" s="75" t="s">
        <v>222</v>
      </c>
      <c r="C183" s="58" t="s">
        <v>256</v>
      </c>
      <c r="D183" s="20">
        <v>7</v>
      </c>
      <c r="E183" s="37">
        <f>0.45/1000</f>
        <v>4.4999999999999999E-4</v>
      </c>
      <c r="F183" s="37">
        <f>3.006/1000</f>
        <v>3.006E-3</v>
      </c>
      <c r="G183" s="38">
        <f t="shared" si="4"/>
        <v>-2.5560000000000001E-3</v>
      </c>
    </row>
    <row r="184" spans="1:7" ht="90" x14ac:dyDescent="0.2">
      <c r="A184" s="11" t="s">
        <v>213</v>
      </c>
      <c r="B184" s="48" t="s">
        <v>181</v>
      </c>
      <c r="C184" s="76" t="s">
        <v>180</v>
      </c>
      <c r="D184" s="20">
        <v>4</v>
      </c>
      <c r="E184" s="37">
        <f>386.331/1000</f>
        <v>0.38633100000000004</v>
      </c>
      <c r="F184" s="37">
        <f>330.505/1000</f>
        <v>0.33050499999999999</v>
      </c>
      <c r="G184" s="38">
        <f t="shared" si="4"/>
        <v>5.5826000000000042E-2</v>
      </c>
    </row>
    <row r="185" spans="1:7" ht="30" x14ac:dyDescent="0.2">
      <c r="A185" s="3" t="s">
        <v>213</v>
      </c>
      <c r="B185" s="52" t="s">
        <v>218</v>
      </c>
      <c r="C185" s="58" t="s">
        <v>256</v>
      </c>
      <c r="D185" s="6">
        <v>6</v>
      </c>
      <c r="E185" s="37">
        <f>2.5/1000</f>
        <v>2.5000000000000001E-3</v>
      </c>
      <c r="F185" s="37">
        <f>2.506/1000</f>
        <v>2.506E-3</v>
      </c>
      <c r="G185" s="38">
        <f t="shared" ref="G185:G197" si="5">E185-F185</f>
        <v>-5.999999999999929E-6</v>
      </c>
    </row>
    <row r="186" spans="1:7" ht="60" x14ac:dyDescent="0.2">
      <c r="A186" s="3" t="s">
        <v>213</v>
      </c>
      <c r="B186" s="52" t="s">
        <v>168</v>
      </c>
      <c r="C186" s="58" t="s">
        <v>256</v>
      </c>
      <c r="D186" s="6">
        <v>6</v>
      </c>
      <c r="E186" s="37">
        <f>2/1000</f>
        <v>2E-3</v>
      </c>
      <c r="F186" s="37">
        <f>0.807/1000</f>
        <v>8.070000000000001E-4</v>
      </c>
      <c r="G186" s="38">
        <f t="shared" si="5"/>
        <v>1.193E-3</v>
      </c>
    </row>
    <row r="187" spans="1:7" ht="60" x14ac:dyDescent="0.2">
      <c r="A187" s="3" t="s">
        <v>213</v>
      </c>
      <c r="B187" s="45" t="s">
        <v>169</v>
      </c>
      <c r="C187" s="58" t="s">
        <v>256</v>
      </c>
      <c r="D187" s="6">
        <v>7</v>
      </c>
      <c r="E187" s="37">
        <f>0.9/1000</f>
        <v>8.9999999999999998E-4</v>
      </c>
      <c r="F187" s="37">
        <f>0.9/1000</f>
        <v>8.9999999999999998E-4</v>
      </c>
      <c r="G187" s="38">
        <f t="shared" si="5"/>
        <v>0</v>
      </c>
    </row>
    <row r="188" spans="1:7" ht="45" x14ac:dyDescent="0.2">
      <c r="A188" s="3" t="s">
        <v>213</v>
      </c>
      <c r="B188" s="52" t="s">
        <v>170</v>
      </c>
      <c r="C188" s="8" t="s">
        <v>247</v>
      </c>
      <c r="D188" s="6">
        <v>7</v>
      </c>
      <c r="E188" s="37">
        <f>0.35/1000</f>
        <v>3.5E-4</v>
      </c>
      <c r="F188" s="37">
        <f>0.35/1000</f>
        <v>3.5E-4</v>
      </c>
      <c r="G188" s="38">
        <f t="shared" si="5"/>
        <v>0</v>
      </c>
    </row>
    <row r="189" spans="1:7" ht="30" x14ac:dyDescent="0.2">
      <c r="A189" s="3" t="s">
        <v>213</v>
      </c>
      <c r="B189" s="52" t="s">
        <v>172</v>
      </c>
      <c r="C189" s="8" t="s">
        <v>171</v>
      </c>
      <c r="D189" s="6">
        <v>6</v>
      </c>
      <c r="E189" s="37">
        <f>1.658/1000</f>
        <v>1.658E-3</v>
      </c>
      <c r="F189" s="37">
        <f>1.658/1000</f>
        <v>1.658E-3</v>
      </c>
      <c r="G189" s="38">
        <f t="shared" si="5"/>
        <v>0</v>
      </c>
    </row>
    <row r="190" spans="1:7" ht="30" x14ac:dyDescent="0.2">
      <c r="A190" s="3" t="s">
        <v>213</v>
      </c>
      <c r="B190" s="52" t="s">
        <v>173</v>
      </c>
      <c r="C190" s="8" t="s">
        <v>171</v>
      </c>
      <c r="D190" s="6">
        <v>7</v>
      </c>
      <c r="E190" s="37">
        <f>0.772/1000</f>
        <v>7.7200000000000001E-4</v>
      </c>
      <c r="F190" s="37">
        <f>0.772/1000</f>
        <v>7.7200000000000001E-4</v>
      </c>
      <c r="G190" s="38">
        <f t="shared" si="5"/>
        <v>0</v>
      </c>
    </row>
    <row r="191" spans="1:7" ht="30" x14ac:dyDescent="0.2">
      <c r="A191" s="3" t="s">
        <v>213</v>
      </c>
      <c r="B191" s="52" t="s">
        <v>174</v>
      </c>
      <c r="C191" s="8" t="s">
        <v>171</v>
      </c>
      <c r="D191" s="6">
        <v>7</v>
      </c>
      <c r="E191" s="37">
        <f>1.054/1000</f>
        <v>1.054E-3</v>
      </c>
      <c r="F191" s="37">
        <f>1.054/1000</f>
        <v>1.054E-3</v>
      </c>
      <c r="G191" s="38">
        <f t="shared" si="5"/>
        <v>0</v>
      </c>
    </row>
    <row r="192" spans="1:7" ht="30" x14ac:dyDescent="0.2">
      <c r="A192" s="3" t="s">
        <v>213</v>
      </c>
      <c r="B192" s="45" t="s">
        <v>175</v>
      </c>
      <c r="C192" s="58" t="s">
        <v>256</v>
      </c>
      <c r="D192" s="6">
        <v>7</v>
      </c>
      <c r="E192" s="37">
        <f>0.6/1000</f>
        <v>5.9999999999999995E-4</v>
      </c>
      <c r="F192" s="37">
        <f>0.6/1000</f>
        <v>5.9999999999999995E-4</v>
      </c>
      <c r="G192" s="38">
        <f t="shared" si="5"/>
        <v>0</v>
      </c>
    </row>
    <row r="193" spans="1:7" ht="30" x14ac:dyDescent="0.2">
      <c r="A193" s="3" t="s">
        <v>213</v>
      </c>
      <c r="B193" s="45" t="s">
        <v>176</v>
      </c>
      <c r="C193" s="8" t="s">
        <v>247</v>
      </c>
      <c r="D193" s="6">
        <v>6</v>
      </c>
      <c r="E193" s="37">
        <f>1.5/1000</f>
        <v>1.5E-3</v>
      </c>
      <c r="F193" s="37">
        <f>3.575/1000</f>
        <v>3.5750000000000001E-3</v>
      </c>
      <c r="G193" s="38">
        <f t="shared" si="5"/>
        <v>-2.075E-3</v>
      </c>
    </row>
    <row r="194" spans="1:7" ht="75" x14ac:dyDescent="0.2">
      <c r="A194" s="11" t="s">
        <v>194</v>
      </c>
      <c r="B194" s="45" t="s">
        <v>177</v>
      </c>
      <c r="C194" s="8" t="s">
        <v>190</v>
      </c>
      <c r="D194" s="13">
        <v>3</v>
      </c>
      <c r="E194" s="37">
        <f>1.911/1000</f>
        <v>1.9109999999999999E-3</v>
      </c>
      <c r="F194" s="37">
        <f>1.911/1000</f>
        <v>1.9109999999999999E-3</v>
      </c>
      <c r="G194" s="38">
        <f t="shared" si="5"/>
        <v>0</v>
      </c>
    </row>
    <row r="195" spans="1:7" ht="60" x14ac:dyDescent="0.2">
      <c r="A195" s="11" t="s">
        <v>194</v>
      </c>
      <c r="B195" s="45" t="s">
        <v>178</v>
      </c>
      <c r="C195" s="8" t="s">
        <v>190</v>
      </c>
      <c r="D195" s="13">
        <v>3</v>
      </c>
      <c r="E195" s="37">
        <f>2.422/1000</f>
        <v>2.4220000000000001E-3</v>
      </c>
      <c r="F195" s="37">
        <f>2.422/1000</f>
        <v>2.4220000000000001E-3</v>
      </c>
      <c r="G195" s="38">
        <f t="shared" si="5"/>
        <v>0</v>
      </c>
    </row>
    <row r="196" spans="1:7" ht="75" x14ac:dyDescent="0.2">
      <c r="A196" s="11" t="s">
        <v>194</v>
      </c>
      <c r="B196" s="45" t="s">
        <v>179</v>
      </c>
      <c r="C196" s="8" t="s">
        <v>190</v>
      </c>
      <c r="D196" s="13">
        <v>3</v>
      </c>
      <c r="E196" s="37">
        <f>0.884/1000</f>
        <v>8.8400000000000002E-4</v>
      </c>
      <c r="F196" s="37">
        <f>0.884/1000</f>
        <v>8.8400000000000002E-4</v>
      </c>
      <c r="G196" s="38">
        <f t="shared" si="5"/>
        <v>0</v>
      </c>
    </row>
    <row r="197" spans="1:7" ht="30" x14ac:dyDescent="0.2">
      <c r="A197" s="11" t="s">
        <v>194</v>
      </c>
      <c r="B197" s="52" t="s">
        <v>15</v>
      </c>
      <c r="C197" s="54" t="s">
        <v>86</v>
      </c>
      <c r="D197" s="6">
        <v>5</v>
      </c>
      <c r="E197" s="37">
        <f>90/1000</f>
        <v>0.09</v>
      </c>
      <c r="F197" s="37">
        <f>106.452/1000</f>
        <v>0.106452</v>
      </c>
      <c r="G197" s="38">
        <f t="shared" si="5"/>
        <v>-1.6452000000000008E-2</v>
      </c>
    </row>
    <row r="198" spans="1:7" x14ac:dyDescent="0.2">
      <c r="A198" s="2"/>
      <c r="B198" s="30"/>
      <c r="C198" s="30"/>
      <c r="D198" s="29"/>
      <c r="E198" s="37"/>
      <c r="F198" s="38"/>
      <c r="G198" s="38"/>
    </row>
    <row r="199" spans="1:7" x14ac:dyDescent="0.2">
      <c r="E199" s="81">
        <f>SUBTOTAL(9,E24:E197)</f>
        <v>15.209463999999992</v>
      </c>
      <c r="F199" s="79">
        <f>SUBTOTAL(9,F24:F197)</f>
        <v>10.908712999999999</v>
      </c>
      <c r="G199" s="79">
        <f>SUM(G24:G197)</f>
        <v>4.300751</v>
      </c>
    </row>
  </sheetData>
  <autoFilter ref="A23:G198"/>
  <mergeCells count="12">
    <mergeCell ref="A21:G21"/>
    <mergeCell ref="A9:G9"/>
    <mergeCell ref="A11:G11"/>
    <mergeCell ref="A12:G12"/>
    <mergeCell ref="A13:G13"/>
    <mergeCell ref="A14:G14"/>
    <mergeCell ref="A15:G15"/>
    <mergeCell ref="A16:G16"/>
    <mergeCell ref="A17:G17"/>
    <mergeCell ref="A18:G18"/>
    <mergeCell ref="A19:G19"/>
    <mergeCell ref="A20:G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Еремеева Татьяна Сергеевна</dc:creator>
  <cp:lastModifiedBy>Тагурова Оксана Валерьевна</cp:lastModifiedBy>
  <dcterms:created xsi:type="dcterms:W3CDTF">2024-12-04T15:23:01Z</dcterms:created>
  <dcterms:modified xsi:type="dcterms:W3CDTF">2026-05-05T11:16:23Z</dcterms:modified>
</cp:coreProperties>
</file>